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marinkovic1\Desktop\PRIJEDLOZI OCJENA 2025\"/>
    </mc:Choice>
  </mc:AlternateContent>
  <xr:revisionPtr revIDLastSave="0" documentId="8_{2E3AF4F0-89B6-48B2-A7BD-2B81EBF551EB}" xr6:coauthVersionLast="47" xr6:coauthVersionMax="47" xr10:uidLastSave="{00000000-0000-0000-0000-000000000000}"/>
  <workbookProtection workbookAlgorithmName="SHA-512" workbookHashValue="QxpD8rB+JOErJ/Rl4osfhDhfde7WKdqVCOccYohshOf3/vmV+KIU97IzC/X0QNSt0ZQrocQSLJpYhzF8QTC12A==" workbookSaltValue="9Ky1A58GKJfLlOQfohNUVA==" workbookSpinCount="100000" lockStructure="1"/>
  <bookViews>
    <workbookView xWindow="-120" yWindow="-120" windowWidth="29040" windowHeight="15720" xr2:uid="{00000000-000D-0000-FFFF-FFFF00000000}"/>
  </bookViews>
  <sheets>
    <sheet name="List 1." sheetId="4" r:id="rId1"/>
    <sheet name="List 2." sheetId="5" r:id="rId2"/>
    <sheet name="List 3." sheetId="3" r:id="rId3"/>
    <sheet name="List 4." sheetId="1" r:id="rId4"/>
    <sheet name="List 5." sheetId="8" r:id="rId5"/>
    <sheet name="List 6." sheetId="6" r:id="rId6"/>
    <sheet name="List 7." sheetId="10" r:id="rId7"/>
    <sheet name="List 8." sheetId="9" r:id="rId8"/>
    <sheet name="Podaci" sheetId="2" state="hidden" r:id="rId9"/>
  </sheets>
  <definedNames>
    <definedName name="_Toc223958043" localSheetId="3">'List 4.'!$B$1</definedName>
    <definedName name="_Toc223958043" localSheetId="4">'List 5.'!$B$1</definedName>
    <definedName name="_Toc223958043" localSheetId="6">'List 7.'!$B$1</definedName>
    <definedName name="_Toc223958043" localSheetId="7">'List 8.'!$B$1</definedName>
    <definedName name="_xlnm.Print_Area" localSheetId="0">'List 1.'!$A$1:$I$48</definedName>
    <definedName name="_xlnm.Print_Area" localSheetId="1">'List 2.'!$A$3:$I$34</definedName>
    <definedName name="_xlnm.Print_Area" localSheetId="2">'List 3.'!$A$2:$J$29</definedName>
    <definedName name="_xlnm.Print_Area" localSheetId="3">'List 4.'!$A$1:$I$115</definedName>
    <definedName name="_xlnm.Print_Area" localSheetId="4">'List 5.'!$A$1:$AL$50</definedName>
    <definedName name="_xlnm.Print_Area" localSheetId="5">'List 6.'!$A$1:$AK$109</definedName>
    <definedName name="_xlnm.Print_Area" localSheetId="6">'List 7.'!$A$1:$I$96</definedName>
    <definedName name="_xlnm.Print_Area" localSheetId="7">'List 8.'!$A$1:$AL$52</definedName>
    <definedName name="PotvrdniOkvir10" localSheetId="3">'List 4.'!#REF!</definedName>
    <definedName name="PotvrdniOkvir10" localSheetId="4">'List 5.'!#REF!</definedName>
    <definedName name="PotvrdniOkvir10" localSheetId="6">'List 7.'!#REF!</definedName>
    <definedName name="PotvrdniOkvir10" localSheetId="7">'List 8.'!#REF!</definedName>
    <definedName name="PotvrdniOkvir11" localSheetId="3">'List 4.'!#REF!</definedName>
    <definedName name="PotvrdniOkvir11" localSheetId="4">'List 5.'!#REF!</definedName>
    <definedName name="PotvrdniOkvir11" localSheetId="6">'List 7.'!#REF!</definedName>
    <definedName name="PotvrdniOkvir11" localSheetId="7">'List 8.'!#REF!</definedName>
    <definedName name="PotvrdniOkvir12" localSheetId="3">'List 4.'!#REF!</definedName>
    <definedName name="PotvrdniOkvir12" localSheetId="4">'List 5.'!#REF!</definedName>
    <definedName name="PotvrdniOkvir12" localSheetId="6">'List 7.'!#REF!</definedName>
    <definedName name="PotvrdniOkvir12" localSheetId="7">'List 8.'!#REF!</definedName>
    <definedName name="PotvrdniOkvir13" localSheetId="3">'List 4.'!#REF!</definedName>
    <definedName name="PotvrdniOkvir13" localSheetId="4">'List 5.'!#REF!</definedName>
    <definedName name="PotvrdniOkvir13" localSheetId="6">'List 7.'!#REF!</definedName>
    <definedName name="PotvrdniOkvir13" localSheetId="7">'List 8.'!#REF!</definedName>
    <definedName name="PotvrdniOkvir14" localSheetId="3">'List 4.'!#REF!</definedName>
    <definedName name="PotvrdniOkvir14" localSheetId="4">'List 5.'!#REF!</definedName>
    <definedName name="PotvrdniOkvir14" localSheetId="6">'List 7.'!#REF!</definedName>
    <definedName name="PotvrdniOkvir14" localSheetId="7">'List 8.'!#REF!</definedName>
    <definedName name="PotvrdniOkvir15" localSheetId="3">'List 4.'!#REF!</definedName>
    <definedName name="PotvrdniOkvir15" localSheetId="4">'List 5.'!#REF!</definedName>
    <definedName name="PotvrdniOkvir15" localSheetId="6">'List 7.'!#REF!</definedName>
    <definedName name="PotvrdniOkvir15" localSheetId="7">'List 8.'!#REF!</definedName>
    <definedName name="PotvrdniOkvir16" localSheetId="3">'List 4.'!#REF!</definedName>
    <definedName name="PotvrdniOkvir16" localSheetId="4">'List 5.'!#REF!</definedName>
    <definedName name="PotvrdniOkvir16" localSheetId="6">'List 7.'!#REF!</definedName>
    <definedName name="PotvrdniOkvir16" localSheetId="7">'List 8.'!#REF!</definedName>
    <definedName name="PotvrdniOkvir25" localSheetId="3">'List 4.'!#REF!</definedName>
    <definedName name="PotvrdniOkvir25" localSheetId="4">'List 5.'!#REF!</definedName>
    <definedName name="PotvrdniOkvir25" localSheetId="6">'List 7.'!#REF!</definedName>
    <definedName name="PotvrdniOkvir25" localSheetId="7">'List 8.'!#REF!</definedName>
    <definedName name="PotvrdniOkvir26" localSheetId="3">'List 4.'!#REF!</definedName>
    <definedName name="PotvrdniOkvir26" localSheetId="4">'List 5.'!#REF!</definedName>
    <definedName name="PotvrdniOkvir26" localSheetId="6">'List 7.'!#REF!</definedName>
    <definedName name="PotvrdniOkvir26" localSheetId="7">'List 8.'!#REF!</definedName>
    <definedName name="PotvrdniOkvir27" localSheetId="3">'List 4.'!#REF!</definedName>
    <definedName name="PotvrdniOkvir27" localSheetId="4">'List 5.'!#REF!</definedName>
    <definedName name="PotvrdniOkvir27" localSheetId="6">'List 7.'!#REF!</definedName>
    <definedName name="PotvrdniOkvir27" localSheetId="7">'List 8.'!#REF!</definedName>
    <definedName name="PotvrdniOkvir28" localSheetId="3">'List 4.'!#REF!</definedName>
    <definedName name="PotvrdniOkvir28" localSheetId="4">'List 5.'!#REF!</definedName>
    <definedName name="PotvrdniOkvir28" localSheetId="6">'List 7.'!#REF!</definedName>
    <definedName name="PotvrdniOkvir28" localSheetId="7">'List 8.'!#REF!</definedName>
    <definedName name="PotvrdniOkvir44" localSheetId="3">'List 4.'!#REF!</definedName>
    <definedName name="PotvrdniOkvir44" localSheetId="4">'List 5.'!#REF!</definedName>
    <definedName name="PotvrdniOkvir44" localSheetId="6">'List 7.'!#REF!</definedName>
    <definedName name="PotvrdniOkvir44" localSheetId="7">'List 8.'!#REF!</definedName>
    <definedName name="PotvrdniOkvir8" localSheetId="3">'List 4.'!#REF!</definedName>
    <definedName name="PotvrdniOkvir8" localSheetId="4">'List 5.'!#REF!</definedName>
    <definedName name="PotvrdniOkvir8" localSheetId="6">'List 7.'!#REF!</definedName>
    <definedName name="PotvrdniOkvir8" localSheetId="7">'List 8.'!#REF!</definedName>
    <definedName name="PotvrdniOkvir9" localSheetId="3">'List 4.'!#REF!</definedName>
    <definedName name="PotvrdniOkvir9" localSheetId="4">'List 5.'!#REF!</definedName>
    <definedName name="PotvrdniOkvir9" localSheetId="6">'List 7.'!#REF!</definedName>
    <definedName name="PotvrdniOkvir9" localSheetId="7">'List 8.'!#REF!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5" l="1"/>
  <c r="J23" i="5"/>
  <c r="M16" i="5"/>
  <c r="N16" i="5" s="1"/>
  <c r="K16" i="5"/>
  <c r="L16" i="5" s="1"/>
  <c r="O16" i="5" s="1"/>
  <c r="AM28" i="9" l="1"/>
  <c r="AM44" i="9"/>
  <c r="AO11" i="9"/>
  <c r="AU50" i="9"/>
  <c r="AU44" i="9"/>
  <c r="AU35" i="9"/>
  <c r="AU28" i="9"/>
  <c r="AU13" i="9"/>
  <c r="Q76" i="10"/>
  <c r="Q73" i="10"/>
  <c r="Q63" i="10"/>
  <c r="Q59" i="10"/>
  <c r="AU104" i="6"/>
  <c r="AU101" i="6"/>
  <c r="AU92" i="6"/>
  <c r="AU87" i="6"/>
  <c r="AU84" i="6"/>
  <c r="AU79" i="6"/>
  <c r="AU76" i="6"/>
  <c r="AU67" i="6"/>
  <c r="AU62" i="6"/>
  <c r="AU59" i="6"/>
  <c r="AU54" i="6"/>
  <c r="AU51" i="6"/>
  <c r="AU42" i="6"/>
  <c r="AU34" i="6"/>
  <c r="AU29" i="6"/>
  <c r="AU26" i="6"/>
  <c r="AU17" i="6"/>
  <c r="AU9" i="6"/>
  <c r="AT40" i="8"/>
  <c r="AT13" i="8"/>
  <c r="AT6" i="8"/>
  <c r="Q94" i="1"/>
  <c r="Q84" i="1"/>
  <c r="Q78" i="1"/>
  <c r="Q20" i="1"/>
  <c r="Q19" i="1"/>
  <c r="Q18" i="1"/>
  <c r="Q12" i="1"/>
  <c r="Q11" i="1"/>
  <c r="Q10" i="1"/>
  <c r="Q9" i="1"/>
  <c r="Q8" i="1"/>
  <c r="R22" i="3"/>
  <c r="R19" i="3"/>
  <c r="R15" i="3"/>
  <c r="R9" i="3"/>
  <c r="Q16" i="5"/>
  <c r="Q21" i="5"/>
  <c r="Q26" i="5"/>
  <c r="Q13" i="5"/>
  <c r="Q12" i="5"/>
  <c r="Q11" i="5"/>
  <c r="Q10" i="5"/>
  <c r="Q9" i="5"/>
  <c r="O25" i="4"/>
  <c r="O23" i="4"/>
  <c r="O21" i="4"/>
  <c r="O19" i="4"/>
  <c r="Q33" i="5" l="1"/>
  <c r="R30" i="3"/>
  <c r="O17" i="4" l="1"/>
  <c r="O15" i="4"/>
  <c r="O13" i="4"/>
  <c r="O8" i="4"/>
  <c r="L82" i="1"/>
  <c r="J82" i="1"/>
  <c r="P82" i="1" s="1"/>
  <c r="A83" i="1"/>
  <c r="B81" i="1"/>
  <c r="Q81" i="1" s="1"/>
  <c r="O90" i="1"/>
  <c r="AM24" i="9"/>
  <c r="AM39" i="8"/>
  <c r="AN44" i="9"/>
  <c r="AP44" i="9" s="1"/>
  <c r="AN28" i="9"/>
  <c r="AR28" i="9" s="1"/>
  <c r="K73" i="10"/>
  <c r="M73" i="10" s="1"/>
  <c r="N73" i="10" s="1"/>
  <c r="AO100" i="6"/>
  <c r="AS100" i="6" s="1"/>
  <c r="AO75" i="6"/>
  <c r="AS75" i="6" s="1"/>
  <c r="AO50" i="6"/>
  <c r="AS50" i="6" s="1"/>
  <c r="AO25" i="6"/>
  <c r="AQ25" i="6" s="1"/>
  <c r="AR25" i="6" s="1"/>
  <c r="AN40" i="8"/>
  <c r="AR40" i="8" s="1"/>
  <c r="AN6" i="8"/>
  <c r="AR6" i="8" s="1"/>
  <c r="K94" i="1"/>
  <c r="M94" i="1" s="1"/>
  <c r="L22" i="3"/>
  <c r="P22" i="3" s="1"/>
  <c r="K26" i="5"/>
  <c r="M26" i="5" s="1"/>
  <c r="N26" i="5" s="1"/>
  <c r="M10" i="4"/>
  <c r="L10" i="4"/>
  <c r="AL104" i="6"/>
  <c r="AL100" i="6"/>
  <c r="AM94" i="6"/>
  <c r="AM89" i="6"/>
  <c r="AM87" i="6"/>
  <c r="AL84" i="6"/>
  <c r="AL79" i="6"/>
  <c r="AL75" i="6"/>
  <c r="AM69" i="6"/>
  <c r="AM64" i="6"/>
  <c r="AR69" i="6" s="1"/>
  <c r="AM62" i="6"/>
  <c r="AL59" i="6"/>
  <c r="AM39" i="9"/>
  <c r="AM32" i="9"/>
  <c r="AM30" i="9"/>
  <c r="AU30" i="9" s="1"/>
  <c r="AM49" i="9"/>
  <c r="L26" i="5" l="1"/>
  <c r="O26" i="5" s="1"/>
  <c r="O48" i="4"/>
  <c r="M82" i="1"/>
  <c r="A82" i="1"/>
  <c r="AS43" i="9"/>
  <c r="AC43" i="9"/>
  <c r="AQ50" i="6"/>
  <c r="AR50" i="6" s="1"/>
  <c r="A44" i="9"/>
  <c r="AP40" i="8"/>
  <c r="AQ40" i="8" s="1"/>
  <c r="AS25" i="6"/>
  <c r="AQ75" i="6"/>
  <c r="AR75" i="6" s="1"/>
  <c r="AT75" i="6" s="1"/>
  <c r="AP28" i="9"/>
  <c r="AQ28" i="9" s="1"/>
  <c r="AS28" i="9" s="1"/>
  <c r="AP6" i="8"/>
  <c r="AQ6" i="8" s="1"/>
  <c r="N22" i="3"/>
  <c r="O22" i="3" s="1"/>
  <c r="O94" i="1"/>
  <c r="AQ100" i="6"/>
  <c r="AR100" i="6" s="1"/>
  <c r="AT100" i="6" s="1"/>
  <c r="AR44" i="9"/>
  <c r="AQ44" i="9"/>
  <c r="O73" i="10"/>
  <c r="N94" i="1"/>
  <c r="AR87" i="6"/>
  <c r="AR62" i="6"/>
  <c r="AR94" i="6"/>
  <c r="P91" i="6"/>
  <c r="P66" i="6"/>
  <c r="AM33" i="9"/>
  <c r="AM38" i="9"/>
  <c r="AQ39" i="9"/>
  <c r="O34" i="9" s="1"/>
  <c r="AQ32" i="9"/>
  <c r="AS44" i="9" l="1"/>
  <c r="AO84" i="6"/>
  <c r="AR102" i="6" s="1"/>
  <c r="AO59" i="6"/>
  <c r="AR77" i="6" s="1"/>
  <c r="J78" i="10"/>
  <c r="I77" i="10" s="1"/>
  <c r="AL54" i="6"/>
  <c r="AL29" i="6"/>
  <c r="AO87" i="6" l="1"/>
  <c r="L87" i="6" s="1"/>
  <c r="AM100" i="6"/>
  <c r="AM84" i="6"/>
  <c r="AM104" i="6"/>
  <c r="A103" i="6" s="1"/>
  <c r="AN100" i="6" l="1"/>
  <c r="E102" i="6"/>
  <c r="AO62" i="6"/>
  <c r="L62" i="6" s="1"/>
  <c r="AM75" i="6"/>
  <c r="AM59" i="6"/>
  <c r="AM79" i="6"/>
  <c r="AI80" i="6" s="1"/>
  <c r="AN75" i="6" l="1"/>
  <c r="E77" i="6"/>
  <c r="K21" i="5"/>
  <c r="L15" i="4"/>
  <c r="L13" i="4"/>
  <c r="K15" i="4"/>
  <c r="K13" i="4"/>
  <c r="G97" i="1" l="1"/>
  <c r="U47" i="8"/>
  <c r="M13" i="4"/>
  <c r="B50" i="9" s="1"/>
  <c r="G27" i="3"/>
  <c r="G44" i="2"/>
  <c r="D44" i="2"/>
  <c r="G43" i="2"/>
  <c r="D43" i="2"/>
  <c r="G42" i="2"/>
  <c r="D42" i="2"/>
  <c r="G41" i="2"/>
  <c r="D41" i="2"/>
  <c r="G10" i="10"/>
  <c r="Q10" i="10" s="1"/>
  <c r="J16" i="5"/>
  <c r="H15" i="5" l="1"/>
  <c r="P16" i="5"/>
  <c r="J22" i="5"/>
  <c r="K23" i="5" s="1"/>
  <c r="A31" i="5"/>
  <c r="B47" i="8"/>
  <c r="B27" i="3"/>
  <c r="J29" i="5"/>
  <c r="E29" i="5" s="1"/>
  <c r="J73" i="10"/>
  <c r="O69" i="10"/>
  <c r="O68" i="10" s="1"/>
  <c r="O70" i="10" s="1"/>
  <c r="M59" i="10"/>
  <c r="H32" i="10"/>
  <c r="G32" i="10"/>
  <c r="Q32" i="10" s="1"/>
  <c r="F31" i="10"/>
  <c r="H30" i="10"/>
  <c r="G30" i="10"/>
  <c r="Q30" i="10" s="1"/>
  <c r="F29" i="10"/>
  <c r="H28" i="10"/>
  <c r="G28" i="10"/>
  <c r="Q28" i="10" s="1"/>
  <c r="F27" i="10"/>
  <c r="H26" i="10"/>
  <c r="G26" i="10"/>
  <c r="Q26" i="10" s="1"/>
  <c r="F25" i="10"/>
  <c r="H24" i="10"/>
  <c r="G24" i="10"/>
  <c r="Q24" i="10" s="1"/>
  <c r="F23" i="10"/>
  <c r="H16" i="10"/>
  <c r="G16" i="10"/>
  <c r="Q16" i="10" s="1"/>
  <c r="F15" i="10"/>
  <c r="H14" i="10"/>
  <c r="G14" i="10"/>
  <c r="Q14" i="10" s="1"/>
  <c r="F13" i="10"/>
  <c r="H12" i="10"/>
  <c r="G12" i="10"/>
  <c r="Q12" i="10" s="1"/>
  <c r="F11" i="10"/>
  <c r="H10" i="10"/>
  <c r="F9" i="10"/>
  <c r="K1" i="10"/>
  <c r="K2" i="10" s="1"/>
  <c r="AQ54" i="6"/>
  <c r="AQ104" i="6" s="1"/>
  <c r="AL50" i="6"/>
  <c r="AT50" i="6" s="1"/>
  <c r="AM44" i="6"/>
  <c r="AM39" i="6"/>
  <c r="AM37" i="6"/>
  <c r="AU37" i="6" s="1"/>
  <c r="AL34" i="6"/>
  <c r="AL25" i="6"/>
  <c r="AT25" i="6" s="1"/>
  <c r="C74" i="10" l="1"/>
  <c r="P73" i="10"/>
  <c r="K21" i="10"/>
  <c r="R21" i="10" s="1"/>
  <c r="E7" i="10"/>
  <c r="G7" i="10"/>
  <c r="A71" i="10"/>
  <c r="R70" i="10"/>
  <c r="J7" i="10"/>
  <c r="K7" i="10"/>
  <c r="E21" i="10"/>
  <c r="G21" i="10"/>
  <c r="J21" i="10"/>
  <c r="AR44" i="6"/>
  <c r="P41" i="6"/>
  <c r="AR37" i="6"/>
  <c r="B47" i="2" l="1"/>
  <c r="AO34" i="6"/>
  <c r="AR52" i="6" s="1"/>
  <c r="R7" i="10"/>
  <c r="AM54" i="6" l="1"/>
  <c r="A53" i="6" s="1"/>
  <c r="AM50" i="6"/>
  <c r="AO37" i="6"/>
  <c r="AM18" i="9"/>
  <c r="AM19" i="6"/>
  <c r="AL9" i="6"/>
  <c r="AM6" i="8" l="1"/>
  <c r="J94" i="1"/>
  <c r="K22" i="3"/>
  <c r="J26" i="5"/>
  <c r="H27" i="5" s="1"/>
  <c r="M78" i="1"/>
  <c r="G51" i="1"/>
  <c r="Q51" i="1" s="1"/>
  <c r="G49" i="1"/>
  <c r="Q49" i="1" s="1"/>
  <c r="G47" i="1"/>
  <c r="Q47" i="1" s="1"/>
  <c r="G43" i="1"/>
  <c r="Q43" i="1" s="1"/>
  <c r="G45" i="1"/>
  <c r="Q45" i="1" s="1"/>
  <c r="K19" i="4"/>
  <c r="G35" i="1"/>
  <c r="Q35" i="1" s="1"/>
  <c r="G33" i="1"/>
  <c r="Q33" i="1" s="1"/>
  <c r="G31" i="1"/>
  <c r="Q31" i="1" s="1"/>
  <c r="G29" i="1"/>
  <c r="Q29" i="1" s="1"/>
  <c r="M20" i="1"/>
  <c r="L20" i="1"/>
  <c r="M19" i="1"/>
  <c r="L19" i="1"/>
  <c r="M18" i="1"/>
  <c r="L18" i="1"/>
  <c r="M12" i="1"/>
  <c r="M11" i="1"/>
  <c r="M10" i="1"/>
  <c r="M9" i="1"/>
  <c r="M8" i="1"/>
  <c r="P26" i="5" l="1"/>
  <c r="H7" i="8"/>
  <c r="AS6" i="8"/>
  <c r="C95" i="1"/>
  <c r="P94" i="1"/>
  <c r="E22" i="3"/>
  <c r="Q22" i="3"/>
  <c r="G65" i="1"/>
  <c r="Q65" i="1" s="1"/>
  <c r="G42" i="10"/>
  <c r="H21" i="10"/>
  <c r="I21" i="10" s="1"/>
  <c r="H7" i="10"/>
  <c r="I7" i="10" s="1"/>
  <c r="G40" i="10"/>
  <c r="Q40" i="10" s="1"/>
  <c r="H37" i="10"/>
  <c r="G48" i="10"/>
  <c r="G46" i="10"/>
  <c r="G44" i="10"/>
  <c r="G63" i="1"/>
  <c r="Q63" i="1" s="1"/>
  <c r="G59" i="1"/>
  <c r="Q59" i="1" s="1"/>
  <c r="G67" i="1"/>
  <c r="Q67" i="1" s="1"/>
  <c r="G61" i="1"/>
  <c r="Q61" i="1" s="1"/>
  <c r="N20" i="1"/>
  <c r="N19" i="1"/>
  <c r="N18" i="1"/>
  <c r="O89" i="1"/>
  <c r="O91" i="1" s="1"/>
  <c r="R91" i="1" s="1"/>
  <c r="AN2" i="6"/>
  <c r="AN3" i="6" s="1"/>
  <c r="AM10" i="9"/>
  <c r="AM9" i="9"/>
  <c r="AM8" i="9"/>
  <c r="AM7" i="9"/>
  <c r="AN7" i="9" s="1"/>
  <c r="AM6" i="9"/>
  <c r="AN1" i="9"/>
  <c r="AN2" i="9" s="1"/>
  <c r="AM14" i="6"/>
  <c r="AM12" i="6"/>
  <c r="AU12" i="6" s="1"/>
  <c r="AU109" i="6" s="1"/>
  <c r="AM10" i="8"/>
  <c r="AM8" i="8"/>
  <c r="AT8" i="8" s="1"/>
  <c r="AT51" i="8" s="1"/>
  <c r="AN1" i="8"/>
  <c r="AN2" i="8" s="1"/>
  <c r="K48" i="10" l="1"/>
  <c r="H48" i="10" s="1"/>
  <c r="Q48" i="10"/>
  <c r="K46" i="10"/>
  <c r="F45" i="10" s="1"/>
  <c r="Q46" i="10"/>
  <c r="K44" i="10"/>
  <c r="F43" i="10" s="1"/>
  <c r="Q44" i="10"/>
  <c r="K42" i="10"/>
  <c r="H42" i="10" s="1"/>
  <c r="Q42" i="10"/>
  <c r="AM23" i="9"/>
  <c r="AM25" i="9"/>
  <c r="AN9" i="9"/>
  <c r="AO24" i="9"/>
  <c r="A23" i="9"/>
  <c r="AN10" i="9"/>
  <c r="AO23" i="9"/>
  <c r="AD39" i="8"/>
  <c r="AS39" i="8"/>
  <c r="A40" i="8"/>
  <c r="AM40" i="8"/>
  <c r="H41" i="8" s="1"/>
  <c r="H46" i="10"/>
  <c r="H44" i="10"/>
  <c r="AP33" i="8"/>
  <c r="G37" i="10"/>
  <c r="G52" i="10" s="1"/>
  <c r="K40" i="10"/>
  <c r="J37" i="10"/>
  <c r="E47" i="2" s="1"/>
  <c r="E37" i="10"/>
  <c r="AR19" i="6"/>
  <c r="P16" i="6"/>
  <c r="AN6" i="9"/>
  <c r="AN8" i="9"/>
  <c r="AO8" i="9"/>
  <c r="AQ8" i="9" s="1"/>
  <c r="AR12" i="6"/>
  <c r="AO9" i="6" s="1"/>
  <c r="AM11" i="8"/>
  <c r="AM5" i="9"/>
  <c r="L10" i="9"/>
  <c r="AG10" i="9"/>
  <c r="S10" i="9"/>
  <c r="Z10" i="9"/>
  <c r="E10" i="9"/>
  <c r="H26" i="1"/>
  <c r="H40" i="1"/>
  <c r="H56" i="1"/>
  <c r="F47" i="10" l="1"/>
  <c r="F41" i="10"/>
  <c r="AU23" i="9"/>
  <c r="AT23" i="9"/>
  <c r="N23" i="9"/>
  <c r="AS40" i="8"/>
  <c r="K37" i="10"/>
  <c r="R37" i="10" s="1"/>
  <c r="F39" i="10"/>
  <c r="H40" i="10"/>
  <c r="L12" i="8"/>
  <c r="I37" i="10"/>
  <c r="I52" i="10" s="1"/>
  <c r="F52" i="10"/>
  <c r="AP11" i="8"/>
  <c r="L8" i="8"/>
  <c r="AN11" i="9"/>
  <c r="AQ11" i="9" s="1"/>
  <c r="J18" i="1"/>
  <c r="J20" i="1"/>
  <c r="J19" i="1"/>
  <c r="L12" i="1"/>
  <c r="L11" i="1"/>
  <c r="L10" i="1"/>
  <c r="L9" i="1"/>
  <c r="L8" i="1"/>
  <c r="N11" i="1"/>
  <c r="N12" i="1"/>
  <c r="B8" i="1"/>
  <c r="K19" i="3"/>
  <c r="K15" i="3"/>
  <c r="K9" i="3"/>
  <c r="K3" i="5"/>
  <c r="K4" i="5" s="1"/>
  <c r="J12" i="5"/>
  <c r="K12" i="5"/>
  <c r="L12" i="5"/>
  <c r="J11" i="5"/>
  <c r="K11" i="5"/>
  <c r="L11" i="5"/>
  <c r="L13" i="5"/>
  <c r="K13" i="5"/>
  <c r="J13" i="5"/>
  <c r="L10" i="5"/>
  <c r="K10" i="5"/>
  <c r="J10" i="5"/>
  <c r="L9" i="5"/>
  <c r="K9" i="5"/>
  <c r="J9" i="5"/>
  <c r="AM19" i="9" l="1"/>
  <c r="AU11" i="9"/>
  <c r="Q52" i="10"/>
  <c r="A12" i="3"/>
  <c r="B46" i="2"/>
  <c r="B48" i="2" s="1"/>
  <c r="B50" i="2" s="1"/>
  <c r="E46" i="2"/>
  <c r="E48" i="2" s="1"/>
  <c r="E50" i="2" s="1"/>
  <c r="B12" i="1"/>
  <c r="J11" i="1"/>
  <c r="K11" i="1" s="1"/>
  <c r="J8" i="1"/>
  <c r="K8" i="1" s="1"/>
  <c r="J9" i="1"/>
  <c r="P9" i="1" s="1"/>
  <c r="J10" i="1"/>
  <c r="K10" i="1" s="1"/>
  <c r="K18" i="1"/>
  <c r="P18" i="1"/>
  <c r="O18" i="1"/>
  <c r="K19" i="1"/>
  <c r="P19" i="1"/>
  <c r="O19" i="1"/>
  <c r="K20" i="1"/>
  <c r="O20" i="1"/>
  <c r="P20" i="1"/>
  <c r="N9" i="1"/>
  <c r="N8" i="1"/>
  <c r="J12" i="1"/>
  <c r="N10" i="1"/>
  <c r="N21" i="1"/>
  <c r="L21" i="1"/>
  <c r="M21" i="1"/>
  <c r="J21" i="1"/>
  <c r="L13" i="1"/>
  <c r="B11" i="1"/>
  <c r="B10" i="1"/>
  <c r="B9" i="1"/>
  <c r="L14" i="5"/>
  <c r="M12" i="5"/>
  <c r="M9" i="5"/>
  <c r="M13" i="5"/>
  <c r="K14" i="5"/>
  <c r="M11" i="5"/>
  <c r="J14" i="5"/>
  <c r="M10" i="5"/>
  <c r="K1" i="1"/>
  <c r="K2" i="1" s="1"/>
  <c r="K2" i="3"/>
  <c r="K3" i="3" s="1"/>
  <c r="J25" i="4"/>
  <c r="H25" i="4" s="1"/>
  <c r="J23" i="4"/>
  <c r="J21" i="4"/>
  <c r="H21" i="4" s="1"/>
  <c r="J19" i="4"/>
  <c r="E19" i="4" s="1"/>
  <c r="A53" i="2" l="1"/>
  <c r="G54" i="10" s="1"/>
  <c r="Q54" i="10" s="1"/>
  <c r="Q97" i="10" s="1"/>
  <c r="P11" i="1"/>
  <c r="O11" i="1"/>
  <c r="O10" i="1"/>
  <c r="K9" i="1"/>
  <c r="O8" i="1"/>
  <c r="P8" i="1"/>
  <c r="O9" i="1"/>
  <c r="J13" i="1"/>
  <c r="F13" i="1" s="1"/>
  <c r="P10" i="1"/>
  <c r="K21" i="1"/>
  <c r="N13" i="1"/>
  <c r="H23" i="4"/>
  <c r="O12" i="1"/>
  <c r="P12" i="1"/>
  <c r="K12" i="1"/>
  <c r="P21" i="1"/>
  <c r="F16" i="1"/>
  <c r="O21" i="1"/>
  <c r="G16" i="1" s="1"/>
  <c r="I14" i="5"/>
  <c r="G14" i="5"/>
  <c r="M14" i="5"/>
  <c r="B14" i="5" s="1"/>
  <c r="J17" i="4"/>
  <c r="E17" i="4" s="1"/>
  <c r="J15" i="4"/>
  <c r="J13" i="4"/>
  <c r="K9" i="4"/>
  <c r="J9" i="4"/>
  <c r="J7" i="4"/>
  <c r="K8" i="4"/>
  <c r="J8" i="4"/>
  <c r="F28" i="1"/>
  <c r="F30" i="1"/>
  <c r="F32" i="1"/>
  <c r="F34" i="1"/>
  <c r="F42" i="1"/>
  <c r="F44" i="1"/>
  <c r="F46" i="1"/>
  <c r="F48" i="1"/>
  <c r="F50" i="1"/>
  <c r="H51" i="1"/>
  <c r="H49" i="1"/>
  <c r="H47" i="1"/>
  <c r="H45" i="1"/>
  <c r="H43" i="1"/>
  <c r="H35" i="1"/>
  <c r="H33" i="1"/>
  <c r="H31" i="1"/>
  <c r="H29" i="1"/>
  <c r="K10" i="4" l="1"/>
  <c r="P13" i="1"/>
  <c r="D1" i="10"/>
  <c r="O1" i="10" s="1"/>
  <c r="O13" i="1"/>
  <c r="G13" i="1" s="1"/>
  <c r="R13" i="1" s="1"/>
  <c r="R15" i="1"/>
  <c r="O14" i="5"/>
  <c r="J2" i="6"/>
  <c r="AR3" i="6" s="1"/>
  <c r="J1" i="8"/>
  <c r="AP1" i="8" s="1"/>
  <c r="AP46" i="8" s="1"/>
  <c r="A50" i="8" s="1"/>
  <c r="J1" i="9"/>
  <c r="AQ2" i="9" s="1"/>
  <c r="D1" i="1"/>
  <c r="O1" i="1" s="1"/>
  <c r="D2" i="3"/>
  <c r="D3" i="5"/>
  <c r="L9" i="4"/>
  <c r="L8" i="4" s="1"/>
  <c r="M8" i="4" s="1"/>
  <c r="F8" i="4" s="1"/>
  <c r="E13" i="4"/>
  <c r="E15" i="4"/>
  <c r="G25" i="2"/>
  <c r="D25" i="2"/>
  <c r="G24" i="2"/>
  <c r="D24" i="2"/>
  <c r="G23" i="2"/>
  <c r="D23" i="2"/>
  <c r="G22" i="2"/>
  <c r="D22" i="2"/>
  <c r="E9" i="4" l="1"/>
  <c r="C9" i="4"/>
  <c r="C10" i="4"/>
  <c r="AR27" i="6"/>
  <c r="AM25" i="6" s="1"/>
  <c r="AN25" i="6" s="1"/>
  <c r="N46" i="4"/>
  <c r="A47" i="4" s="1"/>
  <c r="A14" i="1"/>
  <c r="O3" i="5"/>
  <c r="N31" i="5" s="1"/>
  <c r="O2" i="3"/>
  <c r="O25" i="3" s="1"/>
  <c r="E26" i="1"/>
  <c r="D13" i="2"/>
  <c r="D14" i="2"/>
  <c r="D12" i="2"/>
  <c r="D11" i="2"/>
  <c r="K40" i="1"/>
  <c r="R40" i="1" s="1"/>
  <c r="K26" i="1"/>
  <c r="R26" i="1" s="1"/>
  <c r="J40" i="1"/>
  <c r="J26" i="1"/>
  <c r="G26" i="1"/>
  <c r="E40" i="1"/>
  <c r="G40" i="1"/>
  <c r="A29" i="3" l="1"/>
  <c r="A33" i="5"/>
  <c r="N8" i="4"/>
  <c r="A5" i="4"/>
  <c r="I26" i="1"/>
  <c r="I40" i="1"/>
  <c r="K67" i="1"/>
  <c r="K63" i="1"/>
  <c r="K61" i="1"/>
  <c r="K65" i="1"/>
  <c r="K59" i="1"/>
  <c r="F58" i="1" s="1"/>
  <c r="E56" i="1"/>
  <c r="J56" i="1"/>
  <c r="E28" i="2" s="1"/>
  <c r="G56" i="1"/>
  <c r="G71" i="1" s="1"/>
  <c r="B28" i="2"/>
  <c r="I56" i="1" l="1"/>
  <c r="I71" i="1" s="1"/>
  <c r="B27" i="2" s="1"/>
  <c r="F66" i="1"/>
  <c r="H67" i="1"/>
  <c r="H63" i="1"/>
  <c r="F62" i="1"/>
  <c r="F64" i="1"/>
  <c r="H65" i="1"/>
  <c r="F60" i="1"/>
  <c r="H61" i="1"/>
  <c r="H59" i="1"/>
  <c r="K56" i="1"/>
  <c r="R56" i="1" s="1"/>
  <c r="F71" i="1"/>
  <c r="Q71" i="1" l="1"/>
  <c r="B29" i="2"/>
  <c r="B31" i="2" s="1"/>
  <c r="E27" i="2"/>
  <c r="E29" i="2" l="1"/>
  <c r="E31" i="2" s="1"/>
  <c r="A34" i="2" s="1"/>
  <c r="J59" i="10" l="1"/>
  <c r="J60" i="10" s="1"/>
  <c r="M54" i="10"/>
  <c r="A35" i="2"/>
  <c r="G73" i="1"/>
  <c r="M73" i="1" l="1"/>
  <c r="D79" i="1" s="1"/>
  <c r="Q73" i="1"/>
  <c r="Q115" i="1" s="1"/>
  <c r="R59" i="10"/>
  <c r="F60" i="10"/>
  <c r="J78" i="1"/>
  <c r="J79" i="1" s="1"/>
  <c r="A92" i="1"/>
  <c r="AM29" i="6"/>
  <c r="AI30" i="6" s="1"/>
  <c r="A96" i="10" l="1"/>
  <c r="N93" i="10"/>
  <c r="R78" i="1"/>
  <c r="N112" i="1" s="1"/>
  <c r="A115" i="1" s="1"/>
  <c r="AO12" i="6"/>
  <c r="L12" i="6" s="1"/>
  <c r="AR54" i="6"/>
  <c r="AR104" i="6" s="1"/>
  <c r="A108" i="6" s="1"/>
  <c r="L37" i="6"/>
  <c r="AM34" i="6"/>
  <c r="E52" i="6"/>
  <c r="E27" i="6"/>
  <c r="AM9" i="6"/>
  <c r="AQ18" i="9"/>
  <c r="AQ47" i="9" l="1"/>
  <c r="AM27" i="9" s="1"/>
  <c r="AR26" i="9"/>
  <c r="AN50" i="6"/>
  <c r="AP48" i="9" l="1"/>
  <c r="G29" i="9"/>
  <c r="L30" i="9"/>
  <c r="J45" i="9"/>
  <c r="B11" i="9"/>
  <c r="AM16" i="9"/>
  <c r="A21" i="9"/>
  <c r="AN27" i="9"/>
  <c r="A48" i="9"/>
  <c r="AN47" i="9"/>
  <c r="AM43" i="9"/>
  <c r="AN43" i="9" s="1"/>
  <c r="AM48" i="9"/>
  <c r="H10" i="9"/>
  <c r="AC10" i="9"/>
  <c r="H25" i="9"/>
  <c r="AU25" i="9" s="1"/>
  <c r="AU52" i="9" s="1"/>
  <c r="A25" i="9"/>
  <c r="A52" i="9" l="1"/>
</calcChain>
</file>

<file path=xl/sharedStrings.xml><?xml version="1.0" encoding="utf-8"?>
<sst xmlns="http://schemas.openxmlformats.org/spreadsheetml/2006/main" count="578" uniqueCount="251">
  <si>
    <t>1.</t>
  </si>
  <si>
    <t>Naročito uspješan</t>
  </si>
  <si>
    <t xml:space="preserve">Uspješan </t>
  </si>
  <si>
    <t>Zadovoljava</t>
  </si>
  <si>
    <t>Ne zadovoljava</t>
  </si>
  <si>
    <t>Mjera u kojoj je državni službenik/namještenik obavio poslove i zadaće radnog mjesta i druge povjerene poslove te ispunio postavljene ciljeve, uzimajući u obzir organizacijske i tehničke uvjete u kojima se poslovi i zadaće obavljaju.</t>
  </si>
  <si>
    <t>Točnost, preciznost i pouzdanost u obavljanju poslova; stupanj znanja i razumijevanja propisa, pravila struke i različitih postupaka rada i njihovu samostalnu primjenu u obavljanju poslova.</t>
  </si>
  <si>
    <t>Opseg u kojemu je državni službenik odnosno namještenik obavljao poslove u zadanim ili prihvatljivim rokovima.</t>
  </si>
  <si>
    <t>2.</t>
  </si>
  <si>
    <t>POSEBNI KRITERIJI</t>
  </si>
  <si>
    <t>Mjera u kojoj državni službenik/namještenik pronalazi i predlaže rješenja te daje korisne prijedloge za unaprjeđenje postojećih propisa, strategija, programa i drugih akata, postupaka i metoda rada.</t>
  </si>
  <si>
    <t>Stupanj primjene znanja pravopisa i gramatike te vještina organiziranja i oblikovanja različitih vrsta pisanih tekstova.</t>
  </si>
  <si>
    <t>Primijenjene vještine smislenog, točnog, jasnog, jezgrovitog i stilski prikladnog prezentiranja određenih sadržaja.</t>
  </si>
  <si>
    <t>Mjera u kojoj službenik/namještenik aktivno i samostalno koristi računalo u odnosu na specifične potrebe radnog mjesta.</t>
  </si>
  <si>
    <t>Ocjenjuje se uspješnost primjene znanja i vještina u organizaciji i koordinaciji obavljanja poslova, vodeći računa o raspoloživim i potrebnim resursima i ljudskim potencijalima za obavljanje poslova.</t>
  </si>
  <si>
    <t>Ocjenjuje se razina u kojoj rukovodeći službenik samostalno donosi sadržajno kvalitetne i pravovremene odluke, uzimajući u obzir sve relevantne okolnosti u kojima se odluka donosi.</t>
  </si>
  <si>
    <t>Ocjenjuje se uspješnost primjene raspoloživih tehnika motivacije i motivatora kojima se izaziva, usmjerava i održava željeno ponašanje službenika te ih potiče na izvršavanje radnih zadataka kako bi se ostvarili postavljeni ciljevi.</t>
  </si>
  <si>
    <t>Ocjenjuje se uspješnost primjene metoda uspostave suradnje unutar ustrojstvene jedinice te sprječavanje i rješavanje sukoba na konstruktivan način.</t>
  </si>
  <si>
    <t>Položaj</t>
  </si>
  <si>
    <t>Radno mjesto</t>
  </si>
  <si>
    <t>Opseg posla</t>
  </si>
  <si>
    <t>Redovan</t>
  </si>
  <si>
    <t>Povećan</t>
  </si>
  <si>
    <t>Ukupan broj bodova</t>
  </si>
  <si>
    <t>Kriterij ocjenjivanja</t>
  </si>
  <si>
    <t>Izvrstan</t>
  </si>
  <si>
    <t>Od</t>
  </si>
  <si>
    <t>Do</t>
  </si>
  <si>
    <t>Ocjenjuje se mjera u kojoj rukovodeći službenik uspostavlja procese rada na način da se osigura kvalitetno i učinkovito izvršavanje poslova, prati rad službenika kojima je nadređen i daje im konkretne, pravovremene, dosljedne i jasne upute za rad.</t>
  </si>
  <si>
    <t>Nominalni bodovi</t>
  </si>
  <si>
    <t>Ponderirani bodovi</t>
  </si>
  <si>
    <t>Koeficijent</t>
  </si>
  <si>
    <t>Max. br. bodova</t>
  </si>
  <si>
    <t>Oznaka</t>
  </si>
  <si>
    <t>Razlika</t>
  </si>
  <si>
    <t>Pond. bod.</t>
  </si>
  <si>
    <t>Neg. ocjene</t>
  </si>
  <si>
    <t>Ukup. pond. bod.</t>
  </si>
  <si>
    <t>Ocjena</t>
  </si>
  <si>
    <t>Primjenjivo</t>
  </si>
  <si>
    <t>DA</t>
  </si>
  <si>
    <t>NE</t>
  </si>
  <si>
    <t>Nije primjenjivo</t>
  </si>
  <si>
    <t>N/P</t>
  </si>
  <si>
    <t>Ocjene</t>
  </si>
  <si>
    <t>Legenda:</t>
  </si>
  <si>
    <t>PB</t>
  </si>
  <si>
    <t>Prijedlog ocjene</t>
  </si>
  <si>
    <t>3.</t>
  </si>
  <si>
    <t>KRITERIJI ZA RUKOVODEĆE DRŽAVNE SLUŽBENIKE</t>
  </si>
  <si>
    <t>UKUPAN ZBROJ</t>
  </si>
  <si>
    <t>Greške</t>
  </si>
  <si>
    <t>NB</t>
  </si>
  <si>
    <t>Ukupna ocjena</t>
  </si>
  <si>
    <t>Kriterij 3.</t>
  </si>
  <si>
    <t>Za razdoblje od</t>
  </si>
  <si>
    <t>do</t>
  </si>
  <si>
    <t>O UČINKOVITOSTI RADA ZA __________ GODINU</t>
  </si>
  <si>
    <t>I. PODACI O DRŽAVNOM SLUŽBENIKU/NAMJEŠTENIKU</t>
  </si>
  <si>
    <t>Ime:</t>
  </si>
  <si>
    <t>Prezime:</t>
  </si>
  <si>
    <t>OIB:</t>
  </si>
  <si>
    <t>Rbr.</t>
  </si>
  <si>
    <t>Datum:</t>
  </si>
  <si>
    <t>Potpis državnog službenika/namještenika</t>
  </si>
  <si>
    <t>Potpis neposredno nadređenog</t>
  </si>
  <si>
    <t>III. POLUGODIŠNJA KONTROLA UČINKOVITOSTI RADA</t>
  </si>
  <si>
    <t>Izvršeno</t>
  </si>
  <si>
    <t>Djelomično izvršeno</t>
  </si>
  <si>
    <t>Nije izvršeno</t>
  </si>
  <si>
    <t>Obrazloženje rezultata</t>
  </si>
  <si>
    <t>Status izvršenja</t>
  </si>
  <si>
    <t>Redni broj radnog mjesta u Pravilniku o unutarnjem redu:</t>
  </si>
  <si>
    <t>Naziv radnog mjesta:</t>
  </si>
  <si>
    <t>Službenik/Namještenik:</t>
  </si>
  <si>
    <r>
      <t xml:space="preserve">Rok izvršenja </t>
    </r>
    <r>
      <rPr>
        <sz val="8"/>
        <color theme="1"/>
        <rFont val="Calibri"/>
        <family val="2"/>
        <charset val="238"/>
        <scheme val="minor"/>
      </rPr>
      <t>(datum/ kontinuirano)</t>
    </r>
  </si>
  <si>
    <t>2. Prijedlozi za unaprjeđenje učinkovitosti rada</t>
  </si>
  <si>
    <t>3. Napomena</t>
  </si>
  <si>
    <t>a) Ispunjenje planiranih ključnih zadataka</t>
  </si>
  <si>
    <t>b) Neplanirani ključni zadaci i njihovo ispunjenje</t>
  </si>
  <si>
    <t>Zadaci</t>
  </si>
  <si>
    <t>OPĆI KRITERIJI</t>
  </si>
  <si>
    <t>I Z V J E Š Ć E</t>
  </si>
  <si>
    <t>Ustrojstvena jedinica:</t>
  </si>
  <si>
    <t>4.</t>
  </si>
  <si>
    <t>5.</t>
  </si>
  <si>
    <t>↑</t>
  </si>
  <si>
    <t>Potrebno popuniti</t>
  </si>
  <si>
    <t>Za status "Nije izvršeno" i "Djelomično izvršeno" obvezno je unijeti obrazloženje</t>
  </si>
  <si>
    <t>Potrebno odabrati status izvršenje</t>
  </si>
  <si>
    <t>status</t>
  </si>
  <si>
    <t>obr</t>
  </si>
  <si>
    <t>zad</t>
  </si>
  <si>
    <t>↓</t>
  </si>
  <si>
    <r>
      <t xml:space="preserve">Pokazatelji 
</t>
    </r>
    <r>
      <rPr>
        <sz val="11"/>
        <color theme="1"/>
        <rFont val="Calibri"/>
        <family val="2"/>
        <charset val="238"/>
        <scheme val="minor"/>
      </rPr>
      <t>(kvantitativni i kvalitativni)</t>
    </r>
  </si>
  <si>
    <t>1. Rezultati kontrole ispunjenja ključnih zadataka</t>
  </si>
  <si>
    <t>MaxPB</t>
  </si>
  <si>
    <t>Koef</t>
  </si>
  <si>
    <t>MaxNB</t>
  </si>
  <si>
    <t>Maksimalan broj ponderiranih bodova (100)</t>
  </si>
  <si>
    <t>Ponderirani bodovi u grupi kriterija</t>
  </si>
  <si>
    <t>Koeficijent grupe kriterija</t>
  </si>
  <si>
    <t>Maksimalan broj nominalnih bodova u grupi kriterija</t>
  </si>
  <si>
    <t>Broj ostvarenih nominalnih bodova u grupi kriterija</t>
  </si>
  <si>
    <t>Ocjena temeljem vrednovanja:</t>
  </si>
  <si>
    <t>V. PRIJEDLOG OCJENE</t>
  </si>
  <si>
    <t>a)</t>
  </si>
  <si>
    <t>b)</t>
  </si>
  <si>
    <r>
      <rPr>
        <i/>
        <sz val="11"/>
        <color theme="1"/>
        <rFont val="Calibri"/>
        <family val="2"/>
        <charset val="238"/>
        <scheme val="minor"/>
      </rPr>
      <t>nema</t>
    </r>
    <r>
      <rPr>
        <sz val="11"/>
        <color theme="1"/>
        <rFont val="Calibri"/>
        <family val="2"/>
        <charset val="238"/>
        <scheme val="minor"/>
      </rPr>
      <t xml:space="preserve"> primjedbu</t>
    </r>
  </si>
  <si>
    <r>
      <rPr>
        <i/>
        <sz val="11"/>
        <color theme="1"/>
        <rFont val="Calibri"/>
        <family val="2"/>
        <charset val="238"/>
        <scheme val="minor"/>
      </rPr>
      <t>ima</t>
    </r>
    <r>
      <rPr>
        <sz val="11"/>
        <color theme="1"/>
        <rFont val="Calibri"/>
        <family val="2"/>
        <charset val="238"/>
        <scheme val="minor"/>
      </rPr>
      <t xml:space="preserve"> primjedbu</t>
    </r>
  </si>
  <si>
    <t>U slučaju da primjedba prelazi predviđeni prostor, potrebno ju je dostaviti kao poseban prilog uz ovaj obrazac</t>
  </si>
  <si>
    <t xml:space="preserve">Izvrstan </t>
  </si>
  <si>
    <t>Uspješan</t>
  </si>
  <si>
    <t>Obrazloženje primjedbe:</t>
  </si>
  <si>
    <t>Naziv položaja:</t>
  </si>
  <si>
    <t>Potpis nadređenog službenika</t>
  </si>
  <si>
    <t>Državni službenik/namještenik izvršio je uvid u prijedlog ocjene dana:</t>
  </si>
  <si>
    <t>i na prijedlog ocjene:</t>
  </si>
  <si>
    <t>Obrazloženje promjene predložene ocjene:</t>
  </si>
  <si>
    <t>Elektronski (sa kontrolama)</t>
  </si>
  <si>
    <t>Ručno (bez kontrtola)</t>
  </si>
  <si>
    <t>Prijedlog ocjene:</t>
  </si>
  <si>
    <t>VI. PRIMJEDBA DRŽAVNOG SLUŽBENIKA/NAMJEŠTENIKA NA PRIJEDLOG OCJENE</t>
  </si>
  <si>
    <t>Popunjava nadređeni službenik koji upravlja najvišom ustrojstvenom jedinicom</t>
  </si>
  <si>
    <t>Potpis nadređenog službenika koji upravlja najvišom ustrojstvenom jedinicom</t>
  </si>
  <si>
    <r>
      <t xml:space="preserve">Zadaci 
</t>
    </r>
    <r>
      <rPr>
        <sz val="11"/>
        <rFont val="Calibri"/>
        <family val="2"/>
        <charset val="238"/>
        <scheme val="minor"/>
      </rPr>
      <t>(iz Godišnjeg plana rada i Pravilnika o unutarnjem redu)</t>
    </r>
  </si>
  <si>
    <t>IV. ZAVRŠNA KONTROLA UČINKOVITOSTI RADA</t>
  </si>
  <si>
    <t>c) Vrednovanje učinkovitosti rada</t>
  </si>
  <si>
    <t>1.1. Djelotvornost u obavljanju poslova</t>
  </si>
  <si>
    <r>
      <t>1.2. Točnost, preciznost i</t>
    </r>
    <r>
      <rPr>
        <b/>
        <sz val="12"/>
        <color rgb="FF000000"/>
        <rFont val="Times New Roman"/>
        <family val="1"/>
        <charset val="238"/>
      </rPr>
      <t xml:space="preserve"> pouzdanost u obavljanju poslova</t>
    </r>
  </si>
  <si>
    <t>1.3. Pridržavanje rokova u obavljanju poslova</t>
  </si>
  <si>
    <r>
      <t>2.1</t>
    </r>
    <r>
      <rPr>
        <b/>
        <sz val="12"/>
        <color rgb="FF000000"/>
        <rFont val="Times New Roman"/>
        <family val="1"/>
        <charset val="238"/>
      </rPr>
      <t>. Stupanj kreativnosti, inovativnosti i samoinicijativnosti</t>
    </r>
  </si>
  <si>
    <r>
      <t>2.2</t>
    </r>
    <r>
      <rPr>
        <b/>
        <sz val="12"/>
        <color rgb="FF000000"/>
        <rFont val="Times New Roman"/>
        <family val="1"/>
        <charset val="238"/>
      </rPr>
      <t xml:space="preserve">. Pisana komunikacija </t>
    </r>
  </si>
  <si>
    <r>
      <t>2.3</t>
    </r>
    <r>
      <rPr>
        <b/>
        <sz val="12"/>
        <color rgb="FF000000"/>
        <rFont val="Times New Roman"/>
        <family val="1"/>
        <charset val="238"/>
      </rPr>
      <t xml:space="preserve">. Govorna komunikacija </t>
    </r>
  </si>
  <si>
    <r>
      <t>2.4</t>
    </r>
    <r>
      <rPr>
        <b/>
        <sz val="12"/>
        <color rgb="FF000000"/>
        <rFont val="Times New Roman"/>
        <family val="1"/>
        <charset val="238"/>
      </rPr>
      <t xml:space="preserve">. Digitalna pismenost </t>
    </r>
  </si>
  <si>
    <r>
      <t xml:space="preserve">3.1. </t>
    </r>
    <r>
      <rPr>
        <b/>
        <sz val="12"/>
        <color rgb="FF000000"/>
        <rFont val="Times New Roman"/>
        <family val="1"/>
        <charset val="238"/>
      </rPr>
      <t>Organizacija i upravljanje poslovima</t>
    </r>
  </si>
  <si>
    <r>
      <t>3.2.</t>
    </r>
    <r>
      <rPr>
        <b/>
        <sz val="12"/>
        <color rgb="FF000000"/>
        <rFont val="Times New Roman"/>
        <family val="1"/>
        <charset val="238"/>
      </rPr>
      <t xml:space="preserve"> Sposobnost donošenja odluka</t>
    </r>
  </si>
  <si>
    <r>
      <t xml:space="preserve">3.3. </t>
    </r>
    <r>
      <rPr>
        <b/>
        <sz val="12"/>
        <color rgb="FF000000"/>
        <rFont val="Times New Roman"/>
        <family val="1"/>
        <charset val="238"/>
      </rPr>
      <t>Sposobnost motiviranja službenika</t>
    </r>
  </si>
  <si>
    <r>
      <t xml:space="preserve">3.4. </t>
    </r>
    <r>
      <rPr>
        <b/>
        <sz val="12"/>
        <color rgb="FF000000"/>
        <rFont val="Times New Roman"/>
        <family val="1"/>
        <charset val="238"/>
      </rPr>
      <t>Sposobnost rješavanja sukoba i poboljšanje međuljudskih odnosa</t>
    </r>
  </si>
  <si>
    <t>NAROČITO USPJEŠAN</t>
  </si>
  <si>
    <t>Napomena: Za ocjenu „izvrstan“ državni službenik mora ostvariti bodove za ocjenu „naročito uspješan“ te imati iznimne rezultate u radu</t>
  </si>
  <si>
    <t>Obrazloženje iznimnih rezultata u radu za ocjenu "izvrstan"</t>
  </si>
  <si>
    <t>IZVRSTAN</t>
  </si>
  <si>
    <t>NE ZADOVOLJAVA</t>
  </si>
  <si>
    <t>ZADOVOLJAVA</t>
  </si>
  <si>
    <t>USPJEŠAN</t>
  </si>
  <si>
    <t>Kriterij 4.</t>
  </si>
  <si>
    <t>Ocjena nije usklađena, potrebno je ručno odabrati ocjenu iz padajućeg izbornika</t>
  </si>
  <si>
    <t>Popunjava neposredno nadređeni</t>
  </si>
  <si>
    <t>Za ocjenu "Izvrstan" obvezno je upisati obrazloženje</t>
  </si>
  <si>
    <t>Osobni podaci nisu ispravno popunjeni</t>
  </si>
  <si>
    <t>Potrebno je upisati datum u formatu dd.mm.yyyy</t>
  </si>
  <si>
    <t>zbroj</t>
  </si>
  <si>
    <t>Kontrolni broj:</t>
  </si>
  <si>
    <t>Zbroj</t>
  </si>
  <si>
    <t>Kotrolni broj:</t>
  </si>
  <si>
    <t>←</t>
  </si>
  <si>
    <t>Potrebno je označiti jednu od ponuđenih ocjena</t>
  </si>
  <si>
    <t>Potrebno popuniti obrazloženje</t>
  </si>
  <si>
    <t>Moguće je odabrati samo jednu od ponuđenih ocjena</t>
  </si>
  <si>
    <t>→</t>
  </si>
  <si>
    <t>← Moguće je odabrati samo jednu od ponuđenih opcija</t>
  </si>
  <si>
    <t>← Potrebno je odabrati jednu od ponuđenih opcija</t>
  </si>
  <si>
    <t>Popunjava 1. nadređeni službenik iznad neposredno nadređenog službenika pod uvjetom da ne upravlja najvišom ustrojstvenom jedinicom</t>
  </si>
  <si>
    <t>Ukupan kontrolni br.</t>
  </si>
  <si>
    <t>VII. MIŠLJENJA O PRIJEDLOGU OCJENE</t>
  </si>
  <si>
    <t>VIII. KONAČNI PRIJEDLOG OCJENE NAKON RAZMATRANJA PRIMJEDBE DRŽAVNOG SLUŽBENIKA/NAMJEŠTENIKA</t>
  </si>
  <si>
    <t>Konačna ocjena:</t>
  </si>
  <si>
    <t>Popunjava 2. nadređeni službenik iznad neposredno nadređenog službenika pod uvjetom da ne upravlja najvišom ustrojstvenom jedinicom</t>
  </si>
  <si>
    <t>Potpis nadređenog službenika višeg hijerarhijskog reda</t>
  </si>
  <si>
    <t>Vrednovanje učinkovitosti rada</t>
  </si>
  <si>
    <t>PRIJEDLOG OCJENE</t>
  </si>
  <si>
    <t>Ako se nadređeni službenik višeg hijerarhijskog reda ne slaže s prijedlogom ocjene koju je dao neposredno nadređeni službenik dužan je predložiti ocjenu i ispuniti List 7.</t>
  </si>
  <si>
    <t>List 1. nije ispravno popunjen</t>
  </si>
  <si>
    <t>List 2. nije ispravno popunjen</t>
  </si>
  <si>
    <t>Državni službenik/namještenik upoznat je s ključnim zadacima dana:</t>
  </si>
  <si>
    <t>List 3. nije ispravno popunjen</t>
  </si>
  <si>
    <t>List 4. nije ispravno popunjen</t>
  </si>
  <si>
    <t>List 5. nije ispravno popunjen</t>
  </si>
  <si>
    <t>List 7. nije ispravno popunjen</t>
  </si>
  <si>
    <t>List 8. nije ispravno popunjen</t>
  </si>
  <si>
    <t>List 4.</t>
  </si>
  <si>
    <t>List 7.</t>
  </si>
  <si>
    <r>
      <t xml:space="preserve">Formula za izračun ponderiranih bodova po grupi kriterija: 
</t>
    </r>
    <r>
      <rPr>
        <b/>
        <sz val="10"/>
        <color theme="1"/>
        <rFont val="Calibri"/>
        <family val="2"/>
        <charset val="238"/>
        <scheme val="minor"/>
      </rPr>
      <t>PB = MaxPB/MaxNB*NB*Koef</t>
    </r>
  </si>
  <si>
    <r>
      <t xml:space="preserve">Raspon zbroja ponderiranih bodova </t>
    </r>
    <r>
      <rPr>
        <sz val="10"/>
        <color theme="1"/>
        <rFont val="Calibri"/>
        <family val="2"/>
        <charset val="238"/>
        <scheme val="minor"/>
      </rPr>
      <t>(od 25 do 100)</t>
    </r>
  </si>
  <si>
    <t>Položaj/ radno mjesto:</t>
  </si>
  <si>
    <t>Potrebno je upisati ime i prezime 1. nadređenog službenika iznad neposredno nadređenog službenika</t>
  </si>
  <si>
    <t>Potrebno je upisati ime i prezime 2. nadređenog službenika iznad neposredno nadređenog službenika</t>
  </si>
  <si>
    <t>Popunjava 3. nadređeni službenik iznad neposredno nadređenog službenika pod uvjetom da ne upravlja najvišom ustrojstvenom jedinicom</t>
  </si>
  <si>
    <t>Potrebno je upisati ime i prezime 3. nadređenog službenika iznad neposredno nadređenog službenika</t>
  </si>
  <si>
    <t>Potrebno je upisati ime i prezime 4. nadređenog službenika iznad neposredno nadređenog službenika</t>
  </si>
  <si>
    <t>Potrebno je upisati ime i prezime nadređenog službenika iznad neposredno nadređenog službenika</t>
  </si>
  <si>
    <t>Potrebno je upisati ime i prezime nadređenog službenika koji upravlja najvišom ustrojstvenom jedinicom</t>
  </si>
  <si>
    <t>Zadaci 
(iz Godišnjeg plana rada i Pravilnika o unutarnjem redu)</t>
  </si>
  <si>
    <t>Popunjava 4. nadređeni službenik iznad neposredno nadređenog službenika pod uvjetom da ne upravlja najvišom ustrojstvenom jedinicom</t>
  </si>
  <si>
    <t>U slučaju da obrazloženje prelazi predviđeni prostor, potrebno ga je dostaviti kao poseban prilog uz ovaj obrazac</t>
  </si>
  <si>
    <t>Potrebno popuniti obrazloženje jer se ocjena iz točke VIII. Lista 8. razlikuje od ocjene iz točke V. Lista 4.</t>
  </si>
  <si>
    <t>List 6. nije ispravno popunjen</t>
  </si>
  <si>
    <t>← Datum nije upisan u ispravnom formatu (dd.mm.yyyy)!</t>
  </si>
  <si>
    <t>Datum "od" mora biti stariji od datuma "do"</t>
  </si>
  <si>
    <t>Datum ne može biti stariji od 1.1.2024</t>
  </si>
  <si>
    <r>
      <t>2.5</t>
    </r>
    <r>
      <rPr>
        <b/>
        <sz val="12"/>
        <color rgb="FF000000"/>
        <rFont val="Times New Roman"/>
        <family val="1"/>
        <charset val="238"/>
      </rPr>
      <t>. Sposobnost suradnje (sa suradnicima, strankama i ostalim dionicima)</t>
    </r>
  </si>
  <si>
    <t>Format</t>
  </si>
  <si>
    <t>Stariji</t>
  </si>
  <si>
    <t>↑ Format datuma nije ispravno unesen (dd.mm.yyyy)</t>
  </si>
  <si>
    <t>← Format datuma nije ispravno unesen (dd.mm.yyyy)</t>
  </si>
  <si>
    <t>↑ Datum ne može biti stariji od datuma na Listu 3.</t>
  </si>
  <si>
    <t>Format datuma nije ispravno unesen (dd.mm.yyyy) ↑</t>
  </si>
  <si>
    <t>Datum ne može biti stariji od datuma na Listu 4. ↑</t>
  </si>
  <si>
    <t>Datum ne može biti stariji od prethodnog datuma na Listu 5. ↑</t>
  </si>
  <si>
    <t>↑ Datum ne može biti stariji od datuma na Listu 4.</t>
  </si>
  <si>
    <t>Datum ne može biti stariji od prethodnog datuma na Listu 8. ↑</t>
  </si>
  <si>
    <t>Ocjenjuje se sposobnost rada u timu te sposobnost suradnje s dužnosnicima, drugim državnim službenicima, strankama i drugim dionicima</t>
  </si>
  <si>
    <t>← Datum ne može biti stariji od završnog datuma na Listu 2.</t>
  </si>
  <si>
    <t>← Potrebno je upisati datum razdoblja u formatu: dd.mm.yyyy ili d/m/yyyy; Razdoblje od__do mora biti unutar iste kalendarske godine</t>
  </si>
  <si>
    <t>↑ Potrebno je upisati datum</t>
  </si>
  <si>
    <t>← Potrebno je upisati datum</t>
  </si>
  <si>
    <t>Potrebno je upisati datum ↑</t>
  </si>
  <si>
    <t>Kont. br.</t>
  </si>
  <si>
    <t>Za izbor opcije "nema primjedbu" potrebno je izbrisati datum ↓</t>
  </si>
  <si>
    <t>← Potrebno odabrati iz padajućeg izbornika</t>
  </si>
  <si>
    <t>← Za odabir ocjene "Zadovoljava" ili "Ne zadovoljava" potrebno je izbrisati upisani sadržaj "DA" ili "NE"</t>
  </si>
  <si>
    <t>Obrazloženje za ocjenu "ne zadovoljava"</t>
  </si>
  <si>
    <t>Za ocjenu "izvrstan" i ocjenu "ne zadovoljava" obvezno je upisati obrazloženje</t>
  </si>
  <si>
    <t>Ocjena nije usklađena! Potrebno je ručno odabrati ocjenu iz padajućeg izbornika</t>
  </si>
  <si>
    <t>Obrazloženje ocjene</t>
  </si>
  <si>
    <t>Prijedlog za napredovanje:</t>
  </si>
  <si>
    <t xml:space="preserve">Kontrolni broj za List 1. je </t>
  </si>
  <si>
    <t>Kontrolni broj</t>
  </si>
  <si>
    <t xml:space="preserve">Kontrolni broj za List 2. je </t>
  </si>
  <si>
    <t xml:space="preserve">Kontrolni broj za List 3. je </t>
  </si>
  <si>
    <t xml:space="preserve">Kontrolni broj za List 4. je </t>
  </si>
  <si>
    <t xml:space="preserve">Kontrolni broj za List 5. je </t>
  </si>
  <si>
    <t>Službenik je pisanim putem upozoren na mogućnost dobivanja ocjene "ne zadovoljava" dana</t>
  </si>
  <si>
    <t xml:space="preserve">Kontrolni broj za List 6. je </t>
  </si>
  <si>
    <t>Kontrlni broj</t>
  </si>
  <si>
    <t xml:space="preserve">Kontrolni broj za List 7. je </t>
  </si>
  <si>
    <t xml:space="preserve">Kontrolni broj za List 8. je </t>
  </si>
  <si>
    <t>1.4. Sposobnost rješavanja problema</t>
  </si>
  <si>
    <t>Prepoznavanje ključnih aspekta problema koji se pojavljuju u radu, promišljanja o mogućim načinima rješavanja problema te izbor najboljeg rješenja.</t>
  </si>
  <si>
    <t>3.5. Sposobnost uspostave i unaprjeđenja procedura rada i nadzora nad izvršenjem</t>
  </si>
  <si>
    <t>↑ Tablica s planiranim zadacima nije ispravno popunjena</t>
  </si>
  <si>
    <r>
      <t xml:space="preserve">Potrebno je upisati ime i prezime neposredno nadređenog </t>
    </r>
    <r>
      <rPr>
        <sz val="11"/>
        <color theme="1"/>
        <rFont val="Calibri"/>
        <family val="2"/>
        <charset val="238"/>
      </rPr>
      <t>→</t>
    </r>
  </si>
  <si>
    <t>Datum ne može biti stariji od početnog datuma razdoblja u Listu 1.</t>
  </si>
  <si>
    <t xml:space="preserve"> ↑</t>
  </si>
  <si>
    <t xml:space="preserve">← </t>
  </si>
  <si>
    <t>Potrebno je upisati datum</t>
  </si>
  <si>
    <t>Format datuma nije ispravno unesen (dd.mm.yyyy)</t>
  </si>
  <si>
    <r>
      <t xml:space="preserve">II. PLANIRANI KLJUČNI ZADACI ZA IZVJEŠTAJNO RAZDOBLJE </t>
    </r>
    <r>
      <rPr>
        <sz val="11"/>
        <color theme="1"/>
        <rFont val="Calibri"/>
        <family val="2"/>
        <charset val="238"/>
        <scheme val="minor"/>
      </rPr>
      <t>(najviše 5)</t>
    </r>
  </si>
  <si>
    <r>
      <rPr>
        <b/>
        <sz val="11"/>
        <color theme="1"/>
        <rFont val="Calibri"/>
        <family val="2"/>
        <charset val="238"/>
        <scheme val="minor"/>
      </rPr>
      <t xml:space="preserve">Napomena </t>
    </r>
    <r>
      <rPr>
        <i/>
        <sz val="10"/>
        <color theme="1"/>
        <rFont val="Calibri"/>
        <family val="2"/>
        <charset val="238"/>
        <scheme val="minor"/>
      </rPr>
      <t>(Razlozi zbog kojih državni službenik svojim potpisom nije potvrdio da je upoznat s planiranim ključnim zadacima)</t>
    </r>
  </si>
  <si>
    <t>verzija 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</si>
</sst>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double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/>
      <bottom style="double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6" fillId="0" borderId="0" xfId="0" applyFont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0" fillId="3" borderId="0" xfId="0" applyFill="1"/>
    <xf numFmtId="0" fontId="0" fillId="3" borderId="7" xfId="0" applyFill="1" applyBorder="1"/>
    <xf numFmtId="0" fontId="1" fillId="3" borderId="0" xfId="0" applyFont="1" applyFill="1"/>
    <xf numFmtId="0" fontId="0" fillId="4" borderId="0" xfId="0" applyFill="1"/>
    <xf numFmtId="0" fontId="1" fillId="3" borderId="8" xfId="0" applyFont="1" applyFill="1" applyBorder="1"/>
    <xf numFmtId="0" fontId="0" fillId="3" borderId="8" xfId="0" applyFill="1" applyBorder="1"/>
    <xf numFmtId="0" fontId="0" fillId="0" borderId="8" xfId="0" applyBorder="1"/>
    <xf numFmtId="4" fontId="0" fillId="0" borderId="0" xfId="0" applyNumberFormat="1"/>
    <xf numFmtId="4" fontId="0" fillId="4" borderId="0" xfId="0" applyNumberFormat="1" applyFill="1"/>
    <xf numFmtId="4" fontId="0" fillId="0" borderId="8" xfId="0" applyNumberFormat="1" applyBorder="1"/>
    <xf numFmtId="0" fontId="0" fillId="0" borderId="9" xfId="0" applyBorder="1"/>
    <xf numFmtId="4" fontId="0" fillId="0" borderId="9" xfId="0" applyNumberFormat="1" applyBorder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4" borderId="5" xfId="0" applyFill="1" applyBorder="1"/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0" borderId="19" xfId="0" applyFont="1" applyBorder="1"/>
    <xf numFmtId="0" fontId="0" fillId="0" borderId="20" xfId="0" applyBorder="1"/>
    <xf numFmtId="0" fontId="1" fillId="0" borderId="2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0" fillId="0" borderId="9" xfId="0" applyNumberFormat="1" applyBorder="1"/>
    <xf numFmtId="164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14" fontId="0" fillId="0" borderId="26" xfId="0" applyNumberForma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36" xfId="0" applyBorder="1"/>
    <xf numFmtId="0" fontId="0" fillId="0" borderId="37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4" fontId="0" fillId="0" borderId="9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vertical="top" wrapText="1"/>
    </xf>
    <xf numFmtId="0" fontId="0" fillId="0" borderId="10" xfId="0" applyBorder="1"/>
    <xf numFmtId="0" fontId="1" fillId="0" borderId="13" xfId="0" applyFont="1" applyBorder="1"/>
    <xf numFmtId="0" fontId="1" fillId="0" borderId="9" xfId="0" applyFont="1" applyBorder="1"/>
    <xf numFmtId="164" fontId="0" fillId="0" borderId="11" xfId="0" applyNumberFormat="1" applyBorder="1"/>
    <xf numFmtId="0" fontId="0" fillId="0" borderId="26" xfId="0" applyBorder="1" applyAlignment="1" applyProtection="1">
      <alignment horizontal="center" vertical="center"/>
      <protection locked="0"/>
    </xf>
    <xf numFmtId="0" fontId="1" fillId="6" borderId="26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0" fontId="0" fillId="5" borderId="26" xfId="0" applyFill="1" applyBorder="1" applyAlignment="1">
      <alignment vertical="center" wrapText="1"/>
    </xf>
    <xf numFmtId="0" fontId="0" fillId="5" borderId="26" xfId="0" applyFill="1" applyBorder="1" applyAlignment="1">
      <alignment vertical="center"/>
    </xf>
    <xf numFmtId="0" fontId="21" fillId="0" borderId="0" xfId="0" applyFont="1"/>
    <xf numFmtId="14" fontId="0" fillId="0" borderId="0" xfId="0" applyNumberFormat="1"/>
    <xf numFmtId="0" fontId="1" fillId="3" borderId="17" xfId="0" applyFont="1" applyFill="1" applyBorder="1"/>
    <xf numFmtId="0" fontId="1" fillId="3" borderId="17" xfId="0" applyFont="1" applyFill="1" applyBorder="1" applyAlignment="1">
      <alignment horizontal="center" vertical="center"/>
    </xf>
    <xf numFmtId="0" fontId="1" fillId="0" borderId="20" xfId="0" applyFont="1" applyBorder="1"/>
    <xf numFmtId="0" fontId="1" fillId="0" borderId="17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3" fillId="7" borderId="33" xfId="0" applyFont="1" applyFill="1" applyBorder="1" applyAlignment="1">
      <alignment vertical="center"/>
    </xf>
    <xf numFmtId="0" fontId="24" fillId="7" borderId="34" xfId="0" applyFont="1" applyFill="1" applyBorder="1"/>
    <xf numFmtId="0" fontId="24" fillId="7" borderId="35" xfId="0" applyFont="1" applyFill="1" applyBorder="1"/>
    <xf numFmtId="0" fontId="24" fillId="0" borderId="0" xfId="0" applyFont="1"/>
    <xf numFmtId="164" fontId="24" fillId="0" borderId="0" xfId="0" applyNumberFormat="1" applyFont="1"/>
    <xf numFmtId="0" fontId="24" fillId="7" borderId="26" xfId="0" applyFont="1" applyFill="1" applyBorder="1" applyAlignment="1">
      <alignment vertical="top"/>
    </xf>
    <xf numFmtId="0" fontId="23" fillId="6" borderId="26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/>
    </xf>
    <xf numFmtId="0" fontId="24" fillId="0" borderId="26" xfId="0" applyFont="1" applyBorder="1"/>
    <xf numFmtId="4" fontId="24" fillId="0" borderId="26" xfId="0" applyNumberFormat="1" applyFont="1" applyBorder="1"/>
    <xf numFmtId="0" fontId="10" fillId="0" borderId="0" xfId="0" applyFont="1" applyAlignment="1">
      <alignment horizontal="left" indent="1"/>
    </xf>
    <xf numFmtId="0" fontId="10" fillId="0" borderId="9" xfId="0" applyFont="1" applyBorder="1" applyAlignment="1">
      <alignment horizontal="right"/>
    </xf>
    <xf numFmtId="0" fontId="20" fillId="0" borderId="0" xfId="0" applyFont="1"/>
    <xf numFmtId="0" fontId="10" fillId="0" borderId="0" xfId="0" applyFont="1" applyAlignment="1">
      <alignment horizontal="right" indent="1"/>
    </xf>
    <xf numFmtId="0" fontId="0" fillId="3" borderId="2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 inden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" fillId="5" borderId="0" xfId="0" applyFont="1" applyFill="1"/>
    <xf numFmtId="1" fontId="0" fillId="5" borderId="0" xfId="0" applyNumberFormat="1" applyFill="1"/>
    <xf numFmtId="1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14" fontId="1" fillId="0" borderId="28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14" fontId="0" fillId="0" borderId="0" xfId="0" applyNumberFormat="1" applyAlignment="1" applyProtection="1">
      <alignment horizontal="center"/>
      <protection locked="0"/>
    </xf>
    <xf numFmtId="0" fontId="0" fillId="7" borderId="0" xfId="0" applyFill="1"/>
    <xf numFmtId="0" fontId="0" fillId="7" borderId="0" xfId="0" applyFill="1" applyAlignment="1">
      <alignment vertical="center"/>
    </xf>
    <xf numFmtId="49" fontId="0" fillId="7" borderId="0" xfId="0" applyNumberFormat="1" applyFill="1" applyAlignment="1">
      <alignment vertical="center"/>
    </xf>
    <xf numFmtId="3" fontId="0" fillId="7" borderId="0" xfId="0" applyNumberFormat="1" applyFill="1"/>
    <xf numFmtId="3" fontId="0" fillId="0" borderId="0" xfId="0" applyNumberFormat="1"/>
    <xf numFmtId="3" fontId="1" fillId="0" borderId="0" xfId="0" applyNumberFormat="1" applyFont="1" applyAlignment="1">
      <alignment vertical="top"/>
    </xf>
    <xf numFmtId="3" fontId="11" fillId="7" borderId="0" xfId="0" applyNumberFormat="1" applyFont="1" applyFill="1"/>
    <xf numFmtId="3" fontId="1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0" fillId="7" borderId="0" xfId="0" applyNumberFormat="1" applyFill="1" applyAlignment="1">
      <alignment horizontal="center" vertical="center"/>
    </xf>
    <xf numFmtId="0" fontId="10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1" fillId="0" borderId="30" xfId="0" applyFont="1" applyBorder="1" applyAlignment="1" applyProtection="1">
      <alignment horizontal="left" vertical="center" indent="1"/>
      <protection locked="0"/>
    </xf>
    <xf numFmtId="0" fontId="1" fillId="0" borderId="31" xfId="0" applyFont="1" applyBorder="1" applyAlignment="1" applyProtection="1">
      <alignment horizontal="left" vertical="center" indent="1"/>
      <protection locked="0"/>
    </xf>
    <xf numFmtId="0" fontId="1" fillId="0" borderId="32" xfId="0" applyFont="1" applyBorder="1" applyAlignment="1" applyProtection="1">
      <alignment horizontal="left" vertical="center" indent="1"/>
      <protection locked="0"/>
    </xf>
    <xf numFmtId="49" fontId="1" fillId="0" borderId="30" xfId="0" applyNumberFormat="1" applyFont="1" applyBorder="1" applyAlignment="1" applyProtection="1">
      <alignment horizontal="left" vertical="center" indent="1"/>
      <protection locked="0"/>
    </xf>
    <xf numFmtId="49" fontId="1" fillId="0" borderId="31" xfId="0" applyNumberFormat="1" applyFont="1" applyBorder="1" applyAlignment="1" applyProtection="1">
      <alignment horizontal="left" vertical="center" indent="1"/>
      <protection locked="0"/>
    </xf>
    <xf numFmtId="49" fontId="1" fillId="0" borderId="32" xfId="0" applyNumberFormat="1" applyFont="1" applyBorder="1" applyAlignment="1" applyProtection="1">
      <alignment horizontal="left" vertical="center" indent="1"/>
      <protection locked="0"/>
    </xf>
    <xf numFmtId="0" fontId="10" fillId="0" borderId="29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0" fontId="1" fillId="0" borderId="30" xfId="0" applyFont="1" applyBorder="1" applyAlignment="1" applyProtection="1">
      <alignment horizontal="left" vertical="center" wrapText="1" indent="1"/>
      <protection locked="0"/>
    </xf>
    <xf numFmtId="0" fontId="1" fillId="0" borderId="31" xfId="0" applyFont="1" applyBorder="1" applyAlignment="1" applyProtection="1">
      <alignment horizontal="left" vertical="center" wrapText="1" indent="1"/>
      <protection locked="0"/>
    </xf>
    <xf numFmtId="0" fontId="1" fillId="0" borderId="32" xfId="0" applyFont="1" applyBorder="1" applyAlignment="1" applyProtection="1">
      <alignment horizontal="left" vertical="center" wrapText="1" indent="1"/>
      <protection locked="0"/>
    </xf>
    <xf numFmtId="0" fontId="0" fillId="0" borderId="39" xfId="0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29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top" wrapText="1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9" xfId="0" applyBorder="1" applyAlignment="1">
      <alignment horizontal="center"/>
    </xf>
    <xf numFmtId="49" fontId="0" fillId="0" borderId="11" xfId="0" applyNumberForma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/>
    </xf>
    <xf numFmtId="0" fontId="18" fillId="3" borderId="26" xfId="0" applyFont="1" applyFill="1" applyBorder="1" applyAlignment="1">
      <alignment horizontal="center" vertical="top" wrapText="1"/>
    </xf>
    <xf numFmtId="0" fontId="18" fillId="3" borderId="26" xfId="0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left" vertical="top" wrapText="1" indent="1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right"/>
    </xf>
    <xf numFmtId="0" fontId="20" fillId="0" borderId="9" xfId="0" applyFont="1" applyBorder="1" applyAlignment="1">
      <alignment horizontal="right"/>
    </xf>
    <xf numFmtId="14" fontId="0" fillId="0" borderId="9" xfId="0" applyNumberFormat="1" applyBorder="1" applyAlignment="1" applyProtection="1">
      <alignment horizontal="center"/>
      <protection locked="0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3" borderId="33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7" borderId="33" xfId="0" quotePrefix="1" applyFont="1" applyFill="1" applyBorder="1" applyAlignment="1">
      <alignment horizontal="left" vertical="top" wrapText="1" indent="1"/>
    </xf>
    <xf numFmtId="0" fontId="24" fillId="7" borderId="34" xfId="0" quotePrefix="1" applyFont="1" applyFill="1" applyBorder="1" applyAlignment="1">
      <alignment horizontal="left" vertical="top" wrapText="1" indent="1"/>
    </xf>
    <xf numFmtId="0" fontId="24" fillId="7" borderId="35" xfId="0" quotePrefix="1" applyFont="1" applyFill="1" applyBorder="1" applyAlignment="1">
      <alignment horizontal="left" vertical="top" wrapText="1" indent="1"/>
    </xf>
    <xf numFmtId="0" fontId="24" fillId="7" borderId="33" xfId="0" applyFont="1" applyFill="1" applyBorder="1" applyAlignment="1">
      <alignment horizontal="left" vertical="top" indent="1"/>
    </xf>
    <xf numFmtId="0" fontId="24" fillId="7" borderId="34" xfId="0" applyFont="1" applyFill="1" applyBorder="1" applyAlignment="1">
      <alignment horizontal="left" vertical="top" indent="1"/>
    </xf>
    <xf numFmtId="0" fontId="24" fillId="7" borderId="35" xfId="0" applyFont="1" applyFill="1" applyBorder="1" applyAlignment="1">
      <alignment horizontal="left" vertical="top" indent="1"/>
    </xf>
    <xf numFmtId="0" fontId="24" fillId="7" borderId="33" xfId="0" quotePrefix="1" applyFont="1" applyFill="1" applyBorder="1" applyAlignment="1">
      <alignment horizontal="left" vertical="top" indent="1"/>
    </xf>
    <xf numFmtId="0" fontId="24" fillId="7" borderId="34" xfId="0" quotePrefix="1" applyFont="1" applyFill="1" applyBorder="1" applyAlignment="1">
      <alignment horizontal="left" vertical="top" indent="1"/>
    </xf>
    <xf numFmtId="0" fontId="24" fillId="7" borderId="35" xfId="0" quotePrefix="1" applyFont="1" applyFill="1" applyBorder="1" applyAlignment="1">
      <alignment horizontal="left" vertical="top" indent="1"/>
    </xf>
    <xf numFmtId="0" fontId="23" fillId="3" borderId="33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4" fillId="7" borderId="33" xfId="0" applyFont="1" applyFill="1" applyBorder="1" applyAlignment="1">
      <alignment horizontal="left" vertical="top" wrapText="1"/>
    </xf>
    <xf numFmtId="0" fontId="24" fillId="7" borderId="34" xfId="0" applyFont="1" applyFill="1" applyBorder="1" applyAlignment="1">
      <alignment horizontal="left" vertical="top" wrapText="1"/>
    </xf>
    <xf numFmtId="0" fontId="24" fillId="7" borderId="35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7" fillId="0" borderId="20" xfId="0" applyFont="1" applyBorder="1" applyAlignment="1">
      <alignment horizontal="left" wrapText="1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6" borderId="3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24" fillId="5" borderId="33" xfId="0" applyFont="1" applyFill="1" applyBorder="1" applyAlignment="1">
      <alignment horizontal="left" vertical="center"/>
    </xf>
    <xf numFmtId="0" fontId="24" fillId="5" borderId="35" xfId="0" applyFont="1" applyFill="1" applyBorder="1" applyAlignment="1">
      <alignment horizontal="left" vertical="center"/>
    </xf>
    <xf numFmtId="0" fontId="24" fillId="5" borderId="33" xfId="0" applyFont="1" applyFill="1" applyBorder="1" applyAlignment="1">
      <alignment horizontal="left" vertical="center" wrapText="1"/>
    </xf>
    <xf numFmtId="0" fontId="24" fillId="5" borderId="35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 wrapText="1"/>
    </xf>
    <xf numFmtId="0" fontId="17" fillId="0" borderId="9" xfId="0" applyFont="1" applyBorder="1" applyAlignment="1">
      <alignment horizontal="right" wrapText="1"/>
    </xf>
    <xf numFmtId="0" fontId="0" fillId="0" borderId="11" xfId="0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9" fillId="0" borderId="11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7" fillId="0" borderId="20" xfId="0" applyFont="1" applyBorder="1" applyAlignment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9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right"/>
    </xf>
  </cellXfs>
  <cellStyles count="1">
    <cellStyle name="Normalno" xfId="0" builtinId="0"/>
  </cellStyles>
  <dxfs count="346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  <fill>
        <patternFill>
          <bgColor theme="8" tint="0.3999450666829432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/>
        <horizontal/>
      </border>
    </dxf>
    <dxf>
      <font>
        <color theme="9" tint="-0.499984740745262"/>
      </font>
      <fill>
        <patternFill>
          <bgColor theme="9" tint="0.3999450666829432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color theme="9" tint="-0.499984740745262"/>
      </font>
      <fill>
        <patternFill>
          <bgColor theme="9" tint="0.59996337778862885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ont>
        <color rgb="FFFF0000"/>
      </font>
      <fill>
        <patternFill>
          <bgColor theme="7" tint="0.59996337778862885"/>
        </patternFill>
      </fill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rgb="FFFFEB9C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rgb="FFFFEB9C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EB9C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EB9C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EB9C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b/>
        <i val="0"/>
        <color theme="8" tint="-0.499984740745262"/>
      </font>
      <fill>
        <patternFill>
          <bgColor theme="8" tint="0.3999450666829432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rgb="FFFFEB9C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8" tint="-0.499984740745262"/>
      </font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S48"/>
  <sheetViews>
    <sheetView showGridLines="0" showRowColHeaders="0" tabSelected="1" showRuler="0" view="pageLayout" zoomScaleNormal="100" workbookViewId="0">
      <selection activeCell="C8" sqref="C8"/>
    </sheetView>
  </sheetViews>
  <sheetFormatPr defaultRowHeight="15" x14ac:dyDescent="0.25"/>
  <cols>
    <col min="1" max="1" width="9.140625" customWidth="1"/>
    <col min="3" max="3" width="10.42578125" customWidth="1"/>
    <col min="5" max="5" width="10.42578125" customWidth="1"/>
    <col min="6" max="6" width="15.85546875" customWidth="1"/>
    <col min="8" max="8" width="6.5703125" customWidth="1"/>
    <col min="9" max="9" width="12.42578125" customWidth="1"/>
    <col min="10" max="12" width="9.140625" hidden="1" customWidth="1"/>
    <col min="13" max="13" width="10.5703125" hidden="1" customWidth="1"/>
    <col min="14" max="19" width="9.140625" hidden="1" customWidth="1"/>
    <col min="20" max="20" width="0" hidden="1" customWidth="1"/>
  </cols>
  <sheetData>
    <row r="1" spans="1:15" x14ac:dyDescent="0.25">
      <c r="O1" t="s">
        <v>228</v>
      </c>
    </row>
    <row r="4" spans="1:15" ht="31.5" x14ac:dyDescent="0.5">
      <c r="A4" s="152" t="s">
        <v>82</v>
      </c>
      <c r="B4" s="152"/>
      <c r="C4" s="152"/>
      <c r="D4" s="152"/>
      <c r="E4" s="152"/>
      <c r="F4" s="152"/>
      <c r="G4" s="152"/>
      <c r="H4" s="152"/>
      <c r="I4" s="152"/>
    </row>
    <row r="5" spans="1:15" ht="18.75" x14ac:dyDescent="0.3">
      <c r="A5" s="153" t="str">
        <f>IF(M8=0,J5,IF(L8=2,J7,J5))</f>
        <v>O UČINKOVITOSTI RADA ZA __________ GODINU</v>
      </c>
      <c r="B5" s="153"/>
      <c r="C5" s="153"/>
      <c r="D5" s="153"/>
      <c r="E5" s="153"/>
      <c r="F5" s="153"/>
      <c r="G5" s="153"/>
      <c r="H5" s="153"/>
      <c r="I5" s="153"/>
      <c r="J5" t="s">
        <v>57</v>
      </c>
    </row>
    <row r="6" spans="1:15" ht="18.75" x14ac:dyDescent="0.3">
      <c r="A6" s="61"/>
      <c r="B6" s="61"/>
      <c r="C6" s="61"/>
      <c r="D6" s="61"/>
      <c r="E6" s="61"/>
      <c r="F6" s="61"/>
      <c r="G6" s="61"/>
      <c r="H6" s="61"/>
      <c r="I6" s="61"/>
      <c r="J6" t="s">
        <v>200</v>
      </c>
    </row>
    <row r="7" spans="1:15" ht="15.75" thickBot="1" x14ac:dyDescent="0.3">
      <c r="J7" t="str">
        <f>"O UČINKOVITOSTI RADA ZA "&amp;YEAR(C8)&amp;". GODINU"</f>
        <v>O UČINKOVITOSTI RADA ZA 1900. GODINU</v>
      </c>
    </row>
    <row r="8" spans="1:15" ht="30.75" customHeight="1" thickBot="1" x14ac:dyDescent="0.3">
      <c r="A8" s="154" t="s">
        <v>55</v>
      </c>
      <c r="B8" s="154"/>
      <c r="C8" s="133"/>
      <c r="D8" s="56" t="s">
        <v>56</v>
      </c>
      <c r="E8" s="133"/>
      <c r="F8" s="155" t="str">
        <f>IF(M8="greška",J12,IF(L8=2,"",N11))</f>
        <v>← Potrebno je upisati datum razdoblja u formatu: dd.mm.yyyy ili d/m/yyyy; Razdoblje od__do mora biti unutar iste kalendarske godine</v>
      </c>
      <c r="G8" s="155"/>
      <c r="H8" s="155"/>
      <c r="I8" s="155"/>
      <c r="J8">
        <f>IF(C8&lt;1,0,1)</f>
        <v>0</v>
      </c>
      <c r="K8">
        <f>IF(E8&lt;1,0,1)</f>
        <v>0</v>
      </c>
      <c r="L8" s="2">
        <f>J8+K8+L9</f>
        <v>0</v>
      </c>
      <c r="M8">
        <f>IFERROR(L8,"greška")</f>
        <v>0</v>
      </c>
      <c r="N8">
        <f>IF(M8&gt;0,IF(K10=1,IF(L10=1,IF(M10=1,1,0),0),0),0)</f>
        <v>0</v>
      </c>
      <c r="O8" s="138">
        <f>LEN(C8)*C8+LEN(E8)*E8</f>
        <v>0</v>
      </c>
    </row>
    <row r="9" spans="1:15" x14ac:dyDescent="0.25">
      <c r="C9" s="104" t="str">
        <f>IF(K10=0,J10,"")</f>
        <v/>
      </c>
      <c r="E9" s="104" t="str">
        <f>IF(K10=0,J10,"")</f>
        <v/>
      </c>
      <c r="F9" s="155"/>
      <c r="G9" s="155"/>
      <c r="H9" s="155"/>
      <c r="I9" s="155"/>
      <c r="J9">
        <f>YEAR(C8)</f>
        <v>1900</v>
      </c>
      <c r="K9">
        <f>YEAR(E8)</f>
        <v>1900</v>
      </c>
      <c r="L9">
        <f>K9-J9</f>
        <v>0</v>
      </c>
      <c r="M9" s="97">
        <v>45292</v>
      </c>
    </row>
    <row r="10" spans="1:15" x14ac:dyDescent="0.25">
      <c r="C10" s="70" t="str">
        <f>IF(K10=0,J11,"")</f>
        <v/>
      </c>
      <c r="J10" s="52" t="s">
        <v>86</v>
      </c>
      <c r="K10">
        <f>IF(J8+K8=2,IF(C8&gt;E8,0,1),1)</f>
        <v>1</v>
      </c>
      <c r="L10" s="2">
        <f>IF(C8&lt;M9,0,1)</f>
        <v>0</v>
      </c>
      <c r="M10" s="2">
        <f>IF(E8&lt;M9,0,1)</f>
        <v>0</v>
      </c>
    </row>
    <row r="11" spans="1:15" x14ac:dyDescent="0.25">
      <c r="A11" s="2" t="s">
        <v>58</v>
      </c>
      <c r="J11" t="s">
        <v>199</v>
      </c>
      <c r="N11" t="s">
        <v>214</v>
      </c>
    </row>
    <row r="12" spans="1:15" ht="11.25" customHeight="1" thickBot="1" x14ac:dyDescent="0.3">
      <c r="J12" t="s">
        <v>198</v>
      </c>
    </row>
    <row r="13" spans="1:15" s="51" customFormat="1" ht="30" customHeight="1" thickBot="1" x14ac:dyDescent="0.3">
      <c r="A13" s="51" t="s">
        <v>59</v>
      </c>
      <c r="B13" s="156"/>
      <c r="C13" s="157"/>
      <c r="D13" s="158"/>
      <c r="E13" s="162" t="str">
        <f>IF(J13=0,"← Potrebno popuniti","")</f>
        <v>← Potrebno popuniti</v>
      </c>
      <c r="F13" s="163"/>
      <c r="J13" s="51">
        <f>IF(B13=0,0,1)</f>
        <v>0</v>
      </c>
      <c r="K13" s="51" t="str">
        <f>UPPER(B13)</f>
        <v/>
      </c>
      <c r="L13" s="51" t="str">
        <f>PROPER(B13)</f>
        <v/>
      </c>
      <c r="M13" s="51" t="str">
        <f>L13&amp;" "&amp;L15</f>
        <v xml:space="preserve"> </v>
      </c>
      <c r="O13" s="139">
        <f>LEN(B13)</f>
        <v>0</v>
      </c>
    </row>
    <row r="14" spans="1:15" ht="10.5" customHeight="1" thickBot="1" x14ac:dyDescent="0.3">
      <c r="B14" s="54"/>
      <c r="D14" s="54"/>
    </row>
    <row r="15" spans="1:15" s="51" customFormat="1" ht="30" customHeight="1" thickBot="1" x14ac:dyDescent="0.3">
      <c r="A15" s="51" t="s">
        <v>60</v>
      </c>
      <c r="B15" s="156"/>
      <c r="C15" s="157"/>
      <c r="D15" s="158"/>
      <c r="E15" s="162" t="str">
        <f>IF(J15=0,"← Potrebno popuniti","")</f>
        <v>← Potrebno popuniti</v>
      </c>
      <c r="F15" s="163"/>
      <c r="J15" s="51">
        <f>IF(B15=0,0,1)</f>
        <v>0</v>
      </c>
      <c r="K15" s="51" t="str">
        <f>UPPER(B15)</f>
        <v/>
      </c>
      <c r="L15" s="51" t="str">
        <f>PROPER(B15)</f>
        <v/>
      </c>
      <c r="O15" s="139">
        <f>LEN(B15)</f>
        <v>0</v>
      </c>
    </row>
    <row r="16" spans="1:15" ht="10.5" customHeight="1" thickBot="1" x14ac:dyDescent="0.3">
      <c r="B16" s="54"/>
      <c r="D16" s="54"/>
    </row>
    <row r="17" spans="1:15" s="51" customFormat="1" ht="30" customHeight="1" thickBot="1" x14ac:dyDescent="0.3">
      <c r="A17" s="51" t="s">
        <v>61</v>
      </c>
      <c r="B17" s="159"/>
      <c r="C17" s="160"/>
      <c r="D17" s="161"/>
      <c r="E17" s="162" t="str">
        <f>IF(J17=0,"← Potrebno popuniti","")</f>
        <v>← Potrebno popuniti</v>
      </c>
      <c r="F17" s="163"/>
      <c r="J17" s="51">
        <f>IF(B17=0,0,1)</f>
        <v>0</v>
      </c>
      <c r="O17" s="140">
        <f>LEN(B17)*B17</f>
        <v>0</v>
      </c>
    </row>
    <row r="18" spans="1:15" ht="10.5" customHeight="1" thickBot="1" x14ac:dyDescent="0.3">
      <c r="C18" s="171"/>
      <c r="D18" s="171"/>
    </row>
    <row r="19" spans="1:15" s="51" customFormat="1" ht="30" customHeight="1" thickBot="1" x14ac:dyDescent="0.3">
      <c r="A19" s="164" t="s">
        <v>185</v>
      </c>
      <c r="B19" s="164"/>
      <c r="C19" s="156"/>
      <c r="D19" s="158"/>
      <c r="E19" s="172" t="str">
        <f>IF(J19=0,"← Potrebno odabrati iz padajućeg izbornika","")</f>
        <v>← Potrebno odabrati iz padajućeg izbornika</v>
      </c>
      <c r="F19" s="155"/>
      <c r="G19" s="155"/>
      <c r="H19" s="155"/>
      <c r="I19" s="155"/>
      <c r="J19" s="51">
        <f>IF(C19=0,0,1)</f>
        <v>0</v>
      </c>
      <c r="K19" s="51">
        <f>IF(C19=L19,M19,IF(C19=L20,M20,0))</f>
        <v>0</v>
      </c>
      <c r="L19" t="s">
        <v>18</v>
      </c>
      <c r="M19">
        <v>1</v>
      </c>
      <c r="O19" s="139">
        <f>LEN(C19)</f>
        <v>0</v>
      </c>
    </row>
    <row r="20" spans="1:15" s="51" customFormat="1" ht="10.5" customHeight="1" thickBot="1" x14ac:dyDescent="0.3">
      <c r="A20" s="57"/>
      <c r="B20" s="57"/>
      <c r="E20" s="34"/>
      <c r="F20" s="34"/>
      <c r="L20" t="s">
        <v>19</v>
      </c>
      <c r="M20">
        <v>2</v>
      </c>
    </row>
    <row r="21" spans="1:15" s="51" customFormat="1" ht="30" customHeight="1" thickBot="1" x14ac:dyDescent="0.3">
      <c r="A21" s="164" t="s">
        <v>73</v>
      </c>
      <c r="B21" s="164"/>
      <c r="C21" s="165"/>
      <c r="D21" s="166"/>
      <c r="E21" s="166"/>
      <c r="F21" s="166"/>
      <c r="G21" s="167"/>
      <c r="H21" s="169" t="str">
        <f>IF(J21=0,"← Potrebno popuniti","")</f>
        <v>← Potrebno popuniti</v>
      </c>
      <c r="I21" s="170"/>
      <c r="J21" s="51">
        <f>IF(C21=0,0,1)</f>
        <v>0</v>
      </c>
      <c r="O21" s="139">
        <f>LEN(C21)</f>
        <v>0</v>
      </c>
    </row>
    <row r="22" spans="1:15" ht="10.5" customHeight="1" thickBot="1" x14ac:dyDescent="0.3"/>
    <row r="23" spans="1:15" ht="30" customHeight="1" thickBot="1" x14ac:dyDescent="0.3">
      <c r="A23" s="164" t="s">
        <v>72</v>
      </c>
      <c r="B23" s="164"/>
      <c r="C23" s="164"/>
      <c r="D23" s="164"/>
      <c r="E23" s="168"/>
      <c r="F23" s="156"/>
      <c r="G23" s="158"/>
      <c r="H23" s="169" t="str">
        <f>IF(J23=0,"← Potrebno popuniti","")</f>
        <v>← Potrebno popuniti</v>
      </c>
      <c r="I23" s="170"/>
      <c r="J23" s="51">
        <f>IF(F23=0,0,1)</f>
        <v>0</v>
      </c>
      <c r="O23" s="138">
        <f>LEN(F23)</f>
        <v>0</v>
      </c>
    </row>
    <row r="24" spans="1:15" ht="10.5" customHeight="1" thickBot="1" x14ac:dyDescent="0.3"/>
    <row r="25" spans="1:15" ht="30" customHeight="1" thickBot="1" x14ac:dyDescent="0.3">
      <c r="A25" s="164" t="s">
        <v>83</v>
      </c>
      <c r="B25" s="168"/>
      <c r="C25" s="165"/>
      <c r="D25" s="166"/>
      <c r="E25" s="166"/>
      <c r="F25" s="166"/>
      <c r="G25" s="167"/>
      <c r="H25" s="169" t="str">
        <f>IF(J25=0,"← Potrebno popuniti","")</f>
        <v>← Potrebno popuniti</v>
      </c>
      <c r="I25" s="170"/>
      <c r="J25" s="51">
        <f>IF(C25=0,0,1)</f>
        <v>0</v>
      </c>
      <c r="O25" s="138">
        <f>LEN(C25)</f>
        <v>0</v>
      </c>
    </row>
    <row r="26" spans="1:15" ht="10.5" customHeight="1" x14ac:dyDescent="0.25">
      <c r="A26" s="51"/>
      <c r="C26" s="57"/>
      <c r="D26" s="57"/>
      <c r="E26" s="57"/>
      <c r="F26" s="57"/>
      <c r="G26" s="57"/>
    </row>
    <row r="27" spans="1:15" ht="10.5" customHeight="1" x14ac:dyDescent="0.25"/>
    <row r="28" spans="1:15" ht="10.5" customHeight="1" x14ac:dyDescent="0.25"/>
    <row r="29" spans="1:15" ht="10.5" customHeight="1" x14ac:dyDescent="0.25"/>
    <row r="30" spans="1:15" ht="10.5" customHeight="1" x14ac:dyDescent="0.25"/>
    <row r="31" spans="1:15" ht="10.5" customHeight="1" x14ac:dyDescent="0.25"/>
    <row r="32" spans="1:15" ht="10.5" customHeight="1" x14ac:dyDescent="0.25"/>
    <row r="33" spans="1:15" ht="10.5" customHeight="1" x14ac:dyDescent="0.25"/>
    <row r="34" spans="1:15" ht="10.5" customHeight="1" x14ac:dyDescent="0.25"/>
    <row r="35" spans="1:15" ht="10.5" customHeight="1" x14ac:dyDescent="0.25"/>
    <row r="36" spans="1:15" ht="10.5" customHeight="1" x14ac:dyDescent="0.25"/>
    <row r="37" spans="1:15" ht="10.5" customHeight="1" x14ac:dyDescent="0.25"/>
    <row r="38" spans="1:15" ht="10.5" customHeight="1" x14ac:dyDescent="0.25"/>
    <row r="39" spans="1:15" ht="10.5" customHeight="1" x14ac:dyDescent="0.25"/>
    <row r="40" spans="1:15" ht="10.5" customHeight="1" x14ac:dyDescent="0.25"/>
    <row r="41" spans="1:15" ht="10.5" customHeight="1" x14ac:dyDescent="0.25"/>
    <row r="42" spans="1:15" ht="10.5" customHeight="1" x14ac:dyDescent="0.25"/>
    <row r="43" spans="1:15" ht="10.5" customHeight="1" x14ac:dyDescent="0.25"/>
    <row r="45" spans="1:15" x14ac:dyDescent="0.25">
      <c r="N45" t="s">
        <v>152</v>
      </c>
    </row>
    <row r="46" spans="1:15" x14ac:dyDescent="0.25">
      <c r="K46" t="s">
        <v>153</v>
      </c>
      <c r="M46">
        <v>12</v>
      </c>
      <c r="N46">
        <f>L8+J13+J15+J17+J19+J21+J23+J25+L10+M10+K10</f>
        <v>1</v>
      </c>
    </row>
    <row r="47" spans="1:15" x14ac:dyDescent="0.25">
      <c r="A47" s="151" t="str">
        <f>IF(M8=0,K47,IF(N46=M46,K48&amp;TEXT(O48,"0.000"),K47))</f>
        <v>List 1. nije ispravno popunjen</v>
      </c>
      <c r="B47" s="151"/>
      <c r="C47" s="151"/>
      <c r="D47" s="151"/>
      <c r="E47" s="151"/>
      <c r="F47" s="151"/>
      <c r="G47" s="151"/>
      <c r="H47" s="151"/>
      <c r="I47" s="151"/>
      <c r="K47" t="s">
        <v>173</v>
      </c>
    </row>
    <row r="48" spans="1:15" x14ac:dyDescent="0.25">
      <c r="I48" s="132" t="s">
        <v>250</v>
      </c>
      <c r="K48" t="s">
        <v>227</v>
      </c>
      <c r="O48" s="141">
        <f>O25+O23+O21+O19+O17+O15+O13+O8</f>
        <v>0</v>
      </c>
    </row>
  </sheetData>
  <sheetProtection algorithmName="SHA-512" hashValue="wDNxPgavZbaRhakCNiYskisd7d0x/346/L9s4Rp1Q7qIQqxmQ+lB6YX822m0wUBRgIeiqna8ViBI7dkzhRsSSQ==" saltValue="bDx9+OpOHquqJom2v5vouw==" spinCount="100000" sheet="1" objects="1" scenarios="1" selectLockedCells="1"/>
  <mergeCells count="24">
    <mergeCell ref="A23:E23"/>
    <mergeCell ref="H21:I21"/>
    <mergeCell ref="H23:I23"/>
    <mergeCell ref="H25:I25"/>
    <mergeCell ref="C18:D18"/>
    <mergeCell ref="C25:G25"/>
    <mergeCell ref="E19:I19"/>
    <mergeCell ref="A25:B25"/>
    <mergeCell ref="A47:I47"/>
    <mergeCell ref="A4:I4"/>
    <mergeCell ref="A5:I5"/>
    <mergeCell ref="A8:B8"/>
    <mergeCell ref="F8:I9"/>
    <mergeCell ref="B13:D13"/>
    <mergeCell ref="B15:D15"/>
    <mergeCell ref="B17:D17"/>
    <mergeCell ref="E17:F17"/>
    <mergeCell ref="E15:F15"/>
    <mergeCell ref="E13:F13"/>
    <mergeCell ref="A19:B19"/>
    <mergeCell ref="C19:D19"/>
    <mergeCell ref="A21:B21"/>
    <mergeCell ref="C21:G21"/>
    <mergeCell ref="F23:G23"/>
  </mergeCells>
  <conditionalFormatting sqref="A47:I47">
    <cfRule type="containsText" dxfId="345" priority="1" operator="containsText" text="kontrolni broj">
      <formula>NOT(ISERROR(SEARCH("kontrolni broj",A47)))</formula>
    </cfRule>
    <cfRule type="containsText" dxfId="344" priority="9" operator="containsText" text="nije ispravno">
      <formula>NOT(ISERROR(SEARCH("nije ispravno",A47)))</formula>
    </cfRule>
  </conditionalFormatting>
  <conditionalFormatting sqref="B13:D13">
    <cfRule type="cellIs" dxfId="343" priority="8" operator="lessThan">
      <formula>1</formula>
    </cfRule>
  </conditionalFormatting>
  <conditionalFormatting sqref="B15:D15">
    <cfRule type="cellIs" dxfId="342" priority="7" operator="lessThan">
      <formula>1</formula>
    </cfRule>
  </conditionalFormatting>
  <conditionalFormatting sqref="B17:D17">
    <cfRule type="cellIs" dxfId="341" priority="6" operator="lessThan">
      <formula>1</formula>
    </cfRule>
  </conditionalFormatting>
  <conditionalFormatting sqref="C8">
    <cfRule type="expression" dxfId="340" priority="18">
      <formula>$N$8&lt;1</formula>
    </cfRule>
  </conditionalFormatting>
  <conditionalFormatting sqref="C19:D19">
    <cfRule type="cellIs" dxfId="339" priority="5" operator="lessThan">
      <formula>1</formula>
    </cfRule>
  </conditionalFormatting>
  <conditionalFormatting sqref="C21:G21">
    <cfRule type="cellIs" dxfId="338" priority="4" operator="lessThan">
      <formula>1</formula>
    </cfRule>
  </conditionalFormatting>
  <conditionalFormatting sqref="C25:G25">
    <cfRule type="cellIs" dxfId="337" priority="2" operator="lessThan">
      <formula>1</formula>
    </cfRule>
  </conditionalFormatting>
  <conditionalFormatting sqref="E8">
    <cfRule type="expression" dxfId="336" priority="17">
      <formula>$N$8&lt;1</formula>
    </cfRule>
  </conditionalFormatting>
  <conditionalFormatting sqref="E20">
    <cfRule type="containsText" dxfId="335" priority="20" operator="containsText" text="potrebno odabrati">
      <formula>NOT(ISERROR(SEARCH("potrebno odabrati",E20)))</formula>
    </cfRule>
  </conditionalFormatting>
  <conditionalFormatting sqref="F23:G23">
    <cfRule type="cellIs" dxfId="334" priority="3" operator="lessThan">
      <formula>1</formula>
    </cfRule>
  </conditionalFormatting>
  <dataValidations count="3">
    <dataValidation type="textLength" operator="equal" allowBlank="1" showInputMessage="1" showErrorMessage="1" error="OIB mora imati 11 znamenki" sqref="B17" xr:uid="{00000000-0002-0000-0000-000000000000}">
      <formula1>11</formula1>
    </dataValidation>
    <dataValidation type="textLength" operator="lessThan" allowBlank="1" showInputMessage="1" showErrorMessage="1" error="Maksimalan broj znakova s prazninama je 128" sqref="C21:G21" xr:uid="{00000000-0002-0000-0000-000001000000}">
      <formula1>128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E8 C8" xr:uid="{79B3B572-1C5C-4365-9E42-7EBC1A0E3A5C}">
      <formula1>45291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>
    <oddHeader>&amp;LIzvješće o učinkovitosti rada - &amp;"-,Podebljano"List 1.&amp;"-,Uobičajeno" - Podaci o državnom službeniku/namješteniku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Podaci!$A$2:$A$3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/>
  <dimension ref="A1:S33"/>
  <sheetViews>
    <sheetView showGridLines="0" showRowColHeaders="0" showRuler="0" view="pageLayout" zoomScale="95" zoomScaleNormal="115" zoomScalePageLayoutView="95" workbookViewId="0">
      <selection activeCell="A19" sqref="A19:I24"/>
    </sheetView>
  </sheetViews>
  <sheetFormatPr defaultRowHeight="15" x14ac:dyDescent="0.25"/>
  <cols>
    <col min="1" max="1" width="5" customWidth="1"/>
    <col min="2" max="6" width="11" customWidth="1"/>
    <col min="7" max="7" width="12.5703125" customWidth="1"/>
    <col min="8" max="8" width="11.85546875" customWidth="1"/>
    <col min="9" max="9" width="13.28515625" customWidth="1"/>
    <col min="10" max="10" width="9.140625" hidden="1" customWidth="1"/>
    <col min="11" max="11" width="13.140625" hidden="1" customWidth="1"/>
    <col min="12" max="12" width="11.140625" hidden="1" customWidth="1"/>
    <col min="13" max="16" width="9.140625" hidden="1" customWidth="1"/>
    <col min="17" max="17" width="9.140625" style="142" hidden="1" customWidth="1"/>
    <col min="18" max="19" width="9.140625" hidden="1" customWidth="1"/>
  </cols>
  <sheetData>
    <row r="1" spans="1:17" x14ac:dyDescent="0.25">
      <c r="Q1" s="142" t="s">
        <v>228</v>
      </c>
    </row>
    <row r="3" spans="1:17" x14ac:dyDescent="0.25">
      <c r="A3" s="87" t="s">
        <v>74</v>
      </c>
      <c r="B3" s="73"/>
      <c r="C3" s="73"/>
      <c r="D3" s="191" t="str">
        <f>IF('List 1.'!J13+'List 1.'!J15+'List 1.'!J21&lt;3,'List 3.'!K4,K4)</f>
        <v>Osobni podaci nisu ispravno popunjeni</v>
      </c>
      <c r="E3" s="191"/>
      <c r="F3" s="191"/>
      <c r="G3" s="191"/>
      <c r="H3" s="191"/>
      <c r="I3" s="192"/>
      <c r="J3" s="63"/>
      <c r="K3" t="str">
        <f>UPPER('List 1.'!B13&amp;" "&amp;'List 1.'!B15)</f>
        <v xml:space="preserve"> </v>
      </c>
      <c r="O3" s="21">
        <f>IF(D3=K5,0,1)</f>
        <v>0</v>
      </c>
    </row>
    <row r="4" spans="1:17" x14ac:dyDescent="0.25">
      <c r="A4" s="88"/>
      <c r="B4" s="89"/>
      <c r="C4" s="89"/>
      <c r="D4" s="193"/>
      <c r="E4" s="193"/>
      <c r="F4" s="193"/>
      <c r="G4" s="193"/>
      <c r="H4" s="193"/>
      <c r="I4" s="194"/>
      <c r="J4" s="63"/>
      <c r="K4" t="str">
        <f>K3&amp;", "&amp;'List 1.'!C21</f>
        <v xml:space="preserve"> , </v>
      </c>
    </row>
    <row r="5" spans="1:17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t="s">
        <v>150</v>
      </c>
    </row>
    <row r="6" spans="1:17" x14ac:dyDescent="0.25">
      <c r="A6" s="2" t="s">
        <v>248</v>
      </c>
    </row>
    <row r="8" spans="1:17" s="63" customFormat="1" ht="39.75" customHeight="1" x14ac:dyDescent="0.25">
      <c r="A8" s="65" t="s">
        <v>62</v>
      </c>
      <c r="B8" s="196" t="s">
        <v>125</v>
      </c>
      <c r="C8" s="197"/>
      <c r="D8" s="197"/>
      <c r="E8" s="197"/>
      <c r="F8" s="197"/>
      <c r="G8" s="198" t="s">
        <v>94</v>
      </c>
      <c r="H8" s="198"/>
      <c r="I8" s="66" t="s">
        <v>75</v>
      </c>
      <c r="Q8" s="143"/>
    </row>
    <row r="9" spans="1:17" ht="61.5" customHeight="1" x14ac:dyDescent="0.25">
      <c r="A9" s="55" t="s">
        <v>0</v>
      </c>
      <c r="B9" s="184"/>
      <c r="C9" s="185"/>
      <c r="D9" s="185"/>
      <c r="E9" s="185"/>
      <c r="F9" s="186"/>
      <c r="G9" s="183"/>
      <c r="H9" s="183"/>
      <c r="I9" s="67"/>
      <c r="J9">
        <f>IF(B9=0,0,1)</f>
        <v>0</v>
      </c>
      <c r="K9">
        <f>IF(G9=0,0,1)</f>
        <v>0</v>
      </c>
      <c r="L9">
        <f>IF(I9=0,0,1)</f>
        <v>0</v>
      </c>
      <c r="M9" s="2">
        <f>SUM(J9:L9)</f>
        <v>0</v>
      </c>
      <c r="Q9" s="141">
        <f>LEN(B9)+LEN(G9)+LEN(I9)</f>
        <v>0</v>
      </c>
    </row>
    <row r="10" spans="1:17" ht="61.5" customHeight="1" x14ac:dyDescent="0.25">
      <c r="A10" s="55" t="s">
        <v>8</v>
      </c>
      <c r="B10" s="184"/>
      <c r="C10" s="185"/>
      <c r="D10" s="185"/>
      <c r="E10" s="185"/>
      <c r="F10" s="186"/>
      <c r="G10" s="183"/>
      <c r="H10" s="183"/>
      <c r="I10" s="67"/>
      <c r="J10">
        <f>IF(B10=0,0,1)</f>
        <v>0</v>
      </c>
      <c r="K10">
        <f>IF(G10=0,0,1)</f>
        <v>0</v>
      </c>
      <c r="L10">
        <f>IF(I10=0,0,1)</f>
        <v>0</v>
      </c>
      <c r="M10" s="2">
        <f>SUM(J10:L10)</f>
        <v>0</v>
      </c>
      <c r="Q10" s="141">
        <f>LEN(B10)+LEN(G10)+LEN(I10)</f>
        <v>0</v>
      </c>
    </row>
    <row r="11" spans="1:17" ht="61.5" customHeight="1" x14ac:dyDescent="0.25">
      <c r="A11" s="55" t="s">
        <v>48</v>
      </c>
      <c r="B11" s="184"/>
      <c r="C11" s="185"/>
      <c r="D11" s="185"/>
      <c r="E11" s="185"/>
      <c r="F11" s="186"/>
      <c r="G11" s="183"/>
      <c r="H11" s="183"/>
      <c r="I11" s="67"/>
      <c r="J11">
        <f>IF(B11=0,0,1)</f>
        <v>0</v>
      </c>
      <c r="K11">
        <f>IF(G11=0,0,1)</f>
        <v>0</v>
      </c>
      <c r="L11">
        <f>IF(I11=0,0,1)</f>
        <v>0</v>
      </c>
      <c r="M11" s="2">
        <f>SUM(J11:L11)</f>
        <v>0</v>
      </c>
      <c r="Q11" s="141">
        <f>LEN(B11)+LEN(G11)+LEN(I11)</f>
        <v>0</v>
      </c>
    </row>
    <row r="12" spans="1:17" ht="61.5" customHeight="1" x14ac:dyDescent="0.25">
      <c r="A12" s="55" t="s">
        <v>84</v>
      </c>
      <c r="B12" s="184"/>
      <c r="C12" s="185"/>
      <c r="D12" s="185"/>
      <c r="E12" s="185"/>
      <c r="F12" s="186"/>
      <c r="G12" s="183"/>
      <c r="H12" s="183"/>
      <c r="I12" s="67"/>
      <c r="J12">
        <f>IF(B12=0,0,1)</f>
        <v>0</v>
      </c>
      <c r="K12">
        <f>IF(G12=0,0,1)</f>
        <v>0</v>
      </c>
      <c r="L12">
        <f>IF(I12=0,0,1)</f>
        <v>0</v>
      </c>
      <c r="M12" s="2">
        <f>SUM(J12:L12)</f>
        <v>0</v>
      </c>
      <c r="Q12" s="141">
        <f>LEN(B12)+LEN(G12)+LEN(I12)</f>
        <v>0</v>
      </c>
    </row>
    <row r="13" spans="1:17" ht="61.5" customHeight="1" x14ac:dyDescent="0.25">
      <c r="A13" s="55" t="s">
        <v>85</v>
      </c>
      <c r="B13" s="184"/>
      <c r="C13" s="185"/>
      <c r="D13" s="185"/>
      <c r="E13" s="185"/>
      <c r="F13" s="186"/>
      <c r="G13" s="183"/>
      <c r="H13" s="183"/>
      <c r="I13" s="67"/>
      <c r="J13">
        <f>IF(B13=0,0,1)</f>
        <v>0</v>
      </c>
      <c r="K13">
        <f>IF(G13=0,0,1)</f>
        <v>0</v>
      </c>
      <c r="L13">
        <f>IF(I13=0,0,1)</f>
        <v>0</v>
      </c>
      <c r="M13" s="2">
        <f>SUM(J13:L13)</f>
        <v>0</v>
      </c>
      <c r="Q13" s="141">
        <f>LEN(B13)+LEN(G13)+LEN(I13)</f>
        <v>0</v>
      </c>
    </row>
    <row r="14" spans="1:17" x14ac:dyDescent="0.25">
      <c r="B14" s="195" t="str">
        <f>IF(J9=0,J15,IF(M14/3=J14,"",J15))</f>
        <v>↑ Tablica s planiranim zadacima nije ispravno popunjena</v>
      </c>
      <c r="C14" s="195"/>
      <c r="D14" s="195"/>
      <c r="E14" s="195"/>
      <c r="F14" s="195"/>
      <c r="G14" s="195" t="str">
        <f>IF(K14&lt;J14,N14,IF(K14&lt;L14,N14,""))</f>
        <v/>
      </c>
      <c r="H14" s="195"/>
      <c r="I14" s="104" t="str">
        <f>IF(L14&lt;J14,N14,IF(L14&lt;K14,N14,""))</f>
        <v/>
      </c>
      <c r="J14" s="2">
        <f>SUM(J9:J13)</f>
        <v>0</v>
      </c>
      <c r="K14" s="2">
        <f>SUM(K9:K13)</f>
        <v>0</v>
      </c>
      <c r="L14" s="2">
        <f>SUM(L9:L13)</f>
        <v>0</v>
      </c>
      <c r="M14" s="2">
        <f>SUM(M9:M13)</f>
        <v>0</v>
      </c>
      <c r="N14" s="52" t="s">
        <v>86</v>
      </c>
      <c r="O14" s="128">
        <f>IF(G14=N14,0,IF(I14=N14,0,1))</f>
        <v>1</v>
      </c>
    </row>
    <row r="15" spans="1:17" ht="15" customHeight="1" x14ac:dyDescent="0.25">
      <c r="A15" t="s">
        <v>175</v>
      </c>
      <c r="G15" s="85"/>
      <c r="H15" s="173" t="str">
        <f>IF(J23=1,"",IF(J16=0,K17&amp;J19,IF(N16="greška",K17&amp;J27,IF(O16=0,K17&amp;J20,""))))</f>
        <v>← Potrebno je upisati datum</v>
      </c>
      <c r="I15" s="173"/>
      <c r="J15" t="s">
        <v>241</v>
      </c>
    </row>
    <row r="16" spans="1:17" x14ac:dyDescent="0.25">
      <c r="B16" s="71"/>
      <c r="C16" s="71"/>
      <c r="D16" s="71"/>
      <c r="E16" s="71"/>
      <c r="F16" s="71"/>
      <c r="G16" s="71"/>
      <c r="H16" s="173"/>
      <c r="I16" s="173"/>
      <c r="J16">
        <f>IF(G15&gt;0,1,0)</f>
        <v>0</v>
      </c>
      <c r="K16" s="97">
        <f>'List 1.'!M9</f>
        <v>45292</v>
      </c>
      <c r="L16" s="97">
        <f>IF('List 1.'!C8&lt;K16,K16,'List 1.'!C8)</f>
        <v>45292</v>
      </c>
      <c r="M16">
        <f>G15-K16</f>
        <v>-45292</v>
      </c>
      <c r="N16">
        <f>IFERROR(M16,"greška")</f>
        <v>-45292</v>
      </c>
      <c r="O16">
        <f>IF(G15&lt;L16,0,1)</f>
        <v>0</v>
      </c>
      <c r="P16" s="128">
        <f>IF(J23=1,1,IF(N16="greška",0,IF(J16=1,IF(O16=1,1,0),0)))</f>
        <v>0</v>
      </c>
      <c r="Q16" s="141">
        <f>LEN(G15)*G15</f>
        <v>0</v>
      </c>
    </row>
    <row r="17" spans="1:17" x14ac:dyDescent="0.25">
      <c r="B17" s="71"/>
      <c r="C17" s="71"/>
      <c r="D17" s="71"/>
      <c r="E17" s="71"/>
      <c r="F17" s="71"/>
      <c r="G17" s="71"/>
      <c r="H17" s="173"/>
      <c r="I17" s="173"/>
      <c r="J17" t="s">
        <v>244</v>
      </c>
      <c r="K17" t="s">
        <v>245</v>
      </c>
      <c r="L17" t="s">
        <v>160</v>
      </c>
      <c r="N17" t="s">
        <v>202</v>
      </c>
      <c r="O17" t="s">
        <v>203</v>
      </c>
    </row>
    <row r="18" spans="1:17" x14ac:dyDescent="0.25">
      <c r="A18" t="s">
        <v>249</v>
      </c>
      <c r="D18" s="97"/>
    </row>
    <row r="19" spans="1:17" x14ac:dyDescent="0.25">
      <c r="A19" s="174"/>
      <c r="B19" s="175"/>
      <c r="C19" s="175"/>
      <c r="D19" s="175"/>
      <c r="E19" s="175"/>
      <c r="F19" s="175"/>
      <c r="G19" s="175"/>
      <c r="H19" s="175"/>
      <c r="I19" s="176"/>
      <c r="J19" t="s">
        <v>246</v>
      </c>
    </row>
    <row r="20" spans="1:17" x14ac:dyDescent="0.25">
      <c r="A20" s="177"/>
      <c r="B20" s="178"/>
      <c r="C20" s="178"/>
      <c r="D20" s="178"/>
      <c r="E20" s="178"/>
      <c r="F20" s="178"/>
      <c r="G20" s="178"/>
      <c r="H20" s="178"/>
      <c r="I20" s="179"/>
      <c r="J20" t="s">
        <v>243</v>
      </c>
    </row>
    <row r="21" spans="1:17" x14ac:dyDescent="0.25">
      <c r="A21" s="177"/>
      <c r="B21" s="178"/>
      <c r="C21" s="178"/>
      <c r="D21" s="178"/>
      <c r="E21" s="178"/>
      <c r="F21" s="178"/>
      <c r="G21" s="178"/>
      <c r="H21" s="178"/>
      <c r="I21" s="179"/>
      <c r="K21" t="str">
        <f>PROPER(G31)</f>
        <v/>
      </c>
      <c r="Q21" s="141">
        <f>LEN(G31)</f>
        <v>0</v>
      </c>
    </row>
    <row r="22" spans="1:17" x14ac:dyDescent="0.25">
      <c r="A22" s="177"/>
      <c r="B22" s="178"/>
      <c r="C22" s="178"/>
      <c r="D22" s="178"/>
      <c r="E22" s="178"/>
      <c r="F22" s="178"/>
      <c r="G22" s="178"/>
      <c r="H22" s="178"/>
      <c r="I22" s="179"/>
      <c r="J22">
        <f>IF(J16=1,1,0)</f>
        <v>0</v>
      </c>
    </row>
    <row r="23" spans="1:17" x14ac:dyDescent="0.25">
      <c r="A23" s="177"/>
      <c r="B23" s="178"/>
      <c r="C23" s="178"/>
      <c r="D23" s="178"/>
      <c r="E23" s="178"/>
      <c r="F23" s="178"/>
      <c r="G23" s="178"/>
      <c r="H23" s="178"/>
      <c r="I23" s="179"/>
      <c r="J23">
        <f>IF(A19&gt;0,1,0)</f>
        <v>0</v>
      </c>
      <c r="K23" s="21">
        <f>IF(J22+J23&gt;0,1,0)</f>
        <v>0</v>
      </c>
      <c r="Q23" s="141">
        <f>LEN(A19)</f>
        <v>0</v>
      </c>
    </row>
    <row r="24" spans="1:17" x14ac:dyDescent="0.25">
      <c r="A24" s="180"/>
      <c r="B24" s="181"/>
      <c r="C24" s="181"/>
      <c r="D24" s="181"/>
      <c r="E24" s="181"/>
      <c r="F24" s="181"/>
      <c r="G24" s="181"/>
      <c r="H24" s="181"/>
      <c r="I24" s="182"/>
    </row>
    <row r="25" spans="1:17" x14ac:dyDescent="0.25">
      <c r="K25" s="97"/>
    </row>
    <row r="26" spans="1:17" ht="15" customHeight="1" x14ac:dyDescent="0.25">
      <c r="G26" s="62" t="s">
        <v>63</v>
      </c>
      <c r="H26" s="85"/>
      <c r="I26" s="149"/>
      <c r="J26">
        <f>IF(H26&gt;0,1,0)</f>
        <v>0</v>
      </c>
      <c r="K26" s="97">
        <f>'List 1.'!M9</f>
        <v>45292</v>
      </c>
      <c r="L26" s="97">
        <f>IF('List 1.'!C8&lt;K26,K26,'List 1.'!C8)</f>
        <v>45292</v>
      </c>
      <c r="M26">
        <f>H26-K26</f>
        <v>-45292</v>
      </c>
      <c r="N26">
        <f>IFERROR(M26,"greška")</f>
        <v>-45292</v>
      </c>
      <c r="O26">
        <f>IF(H26&lt;L26,0,1)</f>
        <v>0</v>
      </c>
      <c r="P26" s="128">
        <f>IF(N26="greška",0,IF(J26=1,IF(O26=1,1,0),0))</f>
        <v>0</v>
      </c>
      <c r="Q26" s="141">
        <f>LEN(H26)*H26</f>
        <v>0</v>
      </c>
    </row>
    <row r="27" spans="1:17" x14ac:dyDescent="0.25">
      <c r="H27" s="131" t="str">
        <f>IF(J26=0,J19&amp;J17,IF(N26="greška",J27&amp;J17,IF(O26=0,J20&amp;J17,"")))</f>
        <v>Potrebno je upisati datum ↑</v>
      </c>
      <c r="I27" s="149"/>
      <c r="J27" t="s">
        <v>247</v>
      </c>
    </row>
    <row r="28" spans="1:17" x14ac:dyDescent="0.25">
      <c r="A28" s="151" t="s">
        <v>64</v>
      </c>
      <c r="B28" s="151"/>
      <c r="C28" s="151"/>
      <c r="D28" s="151"/>
      <c r="G28" s="151" t="s">
        <v>65</v>
      </c>
      <c r="H28" s="151"/>
      <c r="I28" s="151"/>
    </row>
    <row r="29" spans="1:17" x14ac:dyDescent="0.25">
      <c r="E29" s="190" t="str">
        <f>IF(J29=0,J30,"")</f>
        <v>Potrebno je upisati ime i prezime neposredno nadređenog →</v>
      </c>
      <c r="F29" s="190"/>
      <c r="J29" s="21">
        <f>IF(G31&gt;0,1,0)</f>
        <v>0</v>
      </c>
      <c r="N29" t="s">
        <v>154</v>
      </c>
    </row>
    <row r="30" spans="1:17" ht="15" customHeight="1" x14ac:dyDescent="0.25">
      <c r="A30" s="105"/>
      <c r="B30" s="105"/>
      <c r="C30" s="105"/>
      <c r="D30" s="105"/>
      <c r="E30" s="190"/>
      <c r="F30" s="190"/>
      <c r="G30" s="187"/>
      <c r="H30" s="187"/>
      <c r="I30" s="187"/>
      <c r="J30" t="s">
        <v>242</v>
      </c>
    </row>
    <row r="31" spans="1:17" x14ac:dyDescent="0.25">
      <c r="A31" s="189" t="str">
        <f>'List 1.'!M13</f>
        <v xml:space="preserve"> </v>
      </c>
      <c r="B31" s="189"/>
      <c r="C31" s="189"/>
      <c r="D31" s="189"/>
      <c r="E31" s="190"/>
      <c r="F31" s="190"/>
      <c r="G31" s="188"/>
      <c r="H31" s="188"/>
      <c r="I31" s="188"/>
      <c r="K31" t="s">
        <v>153</v>
      </c>
      <c r="M31">
        <v>6</v>
      </c>
      <c r="N31" s="129">
        <f>O3+O14+P26+J29+P16+K23</f>
        <v>1</v>
      </c>
    </row>
    <row r="32" spans="1:17" x14ac:dyDescent="0.25">
      <c r="A32" s="20"/>
      <c r="B32" s="20"/>
      <c r="C32" s="20"/>
      <c r="D32" s="20"/>
      <c r="E32" s="127"/>
      <c r="F32" s="127"/>
      <c r="G32" s="150"/>
      <c r="H32" s="150"/>
      <c r="I32" s="150"/>
      <c r="K32" t="s">
        <v>174</v>
      </c>
    </row>
    <row r="33" spans="1:17" x14ac:dyDescent="0.25">
      <c r="A33" s="151" t="str">
        <f>IF('List 1.'!M46='List 1.'!N46,IF(M31=N31,K33&amp;TEXT(Q33,"0.000"),K32),'List 1.'!K47)</f>
        <v>List 1. nije ispravno popunjen</v>
      </c>
      <c r="B33" s="151"/>
      <c r="C33" s="151"/>
      <c r="D33" s="151"/>
      <c r="E33" s="151"/>
      <c r="F33" s="151"/>
      <c r="G33" s="151"/>
      <c r="H33" s="151"/>
      <c r="I33" s="151"/>
      <c r="K33" t="s">
        <v>229</v>
      </c>
      <c r="Q33" s="141">
        <f>Q16+Q21+Q26+Q13+Q12+Q11+Q10+Q9+Q23</f>
        <v>0</v>
      </c>
    </row>
  </sheetData>
  <sheetProtection algorithmName="SHA-512" hashValue="WHQKuo+PICc2bKrU6hOTctUVJeZb3bWWPTaxk1LAdFGsq53G4C+DtbU6ycZ8nwAEapmVAm0hnc6qN6VAcUevsQ==" saltValue="fRppESMozTxmKmlCrQbo2Q==" spinCount="100000" sheet="1" objects="1" scenarios="1" selectLockedCells="1"/>
  <mergeCells count="24">
    <mergeCell ref="D3:I4"/>
    <mergeCell ref="B14:F14"/>
    <mergeCell ref="G14:H14"/>
    <mergeCell ref="B11:F11"/>
    <mergeCell ref="G11:H11"/>
    <mergeCell ref="B12:F12"/>
    <mergeCell ref="G12:H12"/>
    <mergeCell ref="B9:F9"/>
    <mergeCell ref="G9:H9"/>
    <mergeCell ref="B10:F10"/>
    <mergeCell ref="B8:F8"/>
    <mergeCell ref="G8:H8"/>
    <mergeCell ref="H15:I17"/>
    <mergeCell ref="A19:I24"/>
    <mergeCell ref="A33:I33"/>
    <mergeCell ref="G10:H10"/>
    <mergeCell ref="B13:F13"/>
    <mergeCell ref="G13:H13"/>
    <mergeCell ref="G30:I30"/>
    <mergeCell ref="G28:I28"/>
    <mergeCell ref="G31:I31"/>
    <mergeCell ref="A28:D28"/>
    <mergeCell ref="A31:D31"/>
    <mergeCell ref="E29:F31"/>
  </mergeCells>
  <conditionalFormatting sqref="A4:A5">
    <cfRule type="containsText" dxfId="333" priority="27" operator="containsText" text="Osobni podaci iz Obrazca 1.A nisu popunjeni">
      <formula>NOT(ISERROR(SEARCH("Osobni podaci iz Obrazca 1.A nisu popunjeni",A4)))</formula>
    </cfRule>
  </conditionalFormatting>
  <conditionalFormatting sqref="A19:I24">
    <cfRule type="expression" dxfId="332" priority="1">
      <formula>$K$23&lt;1</formula>
    </cfRule>
  </conditionalFormatting>
  <conditionalFormatting sqref="A33:I33">
    <cfRule type="containsText" dxfId="331" priority="2" operator="containsText" text="kontrolni broj">
      <formula>NOT(ISERROR(SEARCH("kontrolni broj",A33)))</formula>
    </cfRule>
    <cfRule type="containsText" dxfId="330" priority="11" operator="containsText" text="ispravno">
      <formula>NOT(ISERROR(SEARCH("ispravno",A33)))</formula>
    </cfRule>
  </conditionalFormatting>
  <conditionalFormatting sqref="B9:F13">
    <cfRule type="cellIs" dxfId="329" priority="3" operator="lessThan">
      <formula>K9+L9</formula>
    </cfRule>
  </conditionalFormatting>
  <conditionalFormatting sqref="D3:I4">
    <cfRule type="containsText" dxfId="328" priority="14" operator="containsText" text="osobni podaci">
      <formula>NOT(ISERROR(SEARCH("osobni podaci",D3)))</formula>
    </cfRule>
  </conditionalFormatting>
  <conditionalFormatting sqref="G15">
    <cfRule type="expression" dxfId="327" priority="8">
      <formula>$P$16&lt;1</formula>
    </cfRule>
  </conditionalFormatting>
  <conditionalFormatting sqref="G9:H13">
    <cfRule type="cellIs" dxfId="326" priority="5" operator="lessThan">
      <formula>J9</formula>
    </cfRule>
  </conditionalFormatting>
  <conditionalFormatting sqref="G31:I31">
    <cfRule type="cellIs" dxfId="325" priority="7" operator="lessThan">
      <formula>1</formula>
    </cfRule>
  </conditionalFormatting>
  <conditionalFormatting sqref="H26">
    <cfRule type="expression" dxfId="324" priority="671">
      <formula>$P$26&lt;1</formula>
    </cfRule>
  </conditionalFormatting>
  <conditionalFormatting sqref="I9:I13">
    <cfRule type="cellIs" dxfId="323" priority="4" operator="lessThan">
      <formula>J9</formula>
    </cfRule>
  </conditionalFormatting>
  <dataValidations count="6">
    <dataValidation type="textLength" operator="lessThan" allowBlank="1" showInputMessage="1" showErrorMessage="1" error="Maksimalan broj znakova (s prazninama) je 105" sqref="G9:H13" xr:uid="{00000000-0002-0000-0100-000000000000}">
      <formula1>105</formula1>
    </dataValidation>
    <dataValidation type="textLength" operator="lessThan" allowBlank="1" showInputMessage="1" showErrorMessage="1" error="Maksimalan broj zanakova (s razmacima) je 140" sqref="I9:I13" xr:uid="{00000000-0002-0000-0100-000001000000}">
      <formula1>140</formula1>
    </dataValidation>
    <dataValidation type="textLength" operator="lessThan" allowBlank="1" showInputMessage="1" showErrorMessage="1" error="Maksimalan broj znakova (s prazninama) je 235" sqref="B9:F13" xr:uid="{00000000-0002-0000-0100-000002000000}">
      <formula1>235</formula1>
    </dataValidation>
    <dataValidation type="textLength" operator="lessThan" allowBlank="1" showInputMessage="1" showErrorMessage="1" errorTitle="Ime i prezime" error="Maksimalan broj znakova s razmacima je 45" sqref="G31:I32" xr:uid="{F2381892-21A6-47FE-B438-9328519193ED}">
      <formula1>46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H26 G15" xr:uid="{15B41503-89D7-4802-9C06-227050BA6082}">
      <formula1>45291</formula1>
    </dataValidation>
    <dataValidation type="textLength" operator="lessThan" allowBlank="1" showInputMessage="1" showErrorMessage="1" errorTitle="Duljina teksta" error="Maksimalan broj znakova (s prazninama) je 730" sqref="A19:I24" xr:uid="{B6FF38D3-E09C-4260-AB45-209C1A096101}">
      <formula1>731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>
    <oddHeader>&amp;LIzvješće o učinkovitosti rada - &amp;"-,Podebljano"List 2.&amp;"-,Uobičajeno" - Ključni zadaci planirani za izvještajno razdoblje &amp;"-,Podebljano" &amp;"-,Uobičajeno"(popunjava se do 15. siječnja tekuće kalendarske godine za koju se provodi ocjenjivanje)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T30"/>
  <sheetViews>
    <sheetView showGridLines="0" showRowColHeaders="0" showRuler="0" view="pageLayout" zoomScaleNormal="100" workbookViewId="0">
      <selection activeCell="A19" sqref="A19:J19"/>
    </sheetView>
  </sheetViews>
  <sheetFormatPr defaultRowHeight="15" x14ac:dyDescent="0.25"/>
  <cols>
    <col min="1" max="1" width="4.42578125" customWidth="1"/>
    <col min="5" max="5" width="16.28515625" customWidth="1"/>
    <col min="7" max="7" width="12.5703125" customWidth="1"/>
    <col min="10" max="10" width="10.140625" bestFit="1" customWidth="1"/>
    <col min="11" max="11" width="9.140625" hidden="1" customWidth="1"/>
    <col min="12" max="12" width="10.85546875" hidden="1" customWidth="1"/>
    <col min="13" max="17" width="9.140625" hidden="1" customWidth="1"/>
    <col min="18" max="18" width="9.140625" style="142" hidden="1" customWidth="1"/>
    <col min="19" max="20" width="9.140625" hidden="1" customWidth="1"/>
  </cols>
  <sheetData>
    <row r="1" spans="1:18" x14ac:dyDescent="0.25">
      <c r="R1" s="142" t="s">
        <v>228</v>
      </c>
    </row>
    <row r="2" spans="1:18" x14ac:dyDescent="0.25">
      <c r="A2" s="87" t="s">
        <v>74</v>
      </c>
      <c r="B2" s="73"/>
      <c r="C2" s="73"/>
      <c r="D2" s="199" t="str">
        <f>IF('List 1.'!J13+'List 1.'!J15+'List 1.'!J21&lt;3,'List 3.'!K4,K3)</f>
        <v>Osobni podaci nisu ispravno popunjeni</v>
      </c>
      <c r="E2" s="199"/>
      <c r="F2" s="199"/>
      <c r="G2" s="199"/>
      <c r="H2" s="199"/>
      <c r="I2" s="199"/>
      <c r="J2" s="200"/>
      <c r="K2" t="str">
        <f>UPPER('List 1.'!B13&amp;" "&amp;'List 1.'!B15)</f>
        <v xml:space="preserve"> </v>
      </c>
      <c r="O2" s="21">
        <f>IF(D2=K4,0,1)</f>
        <v>0</v>
      </c>
    </row>
    <row r="3" spans="1:18" x14ac:dyDescent="0.25">
      <c r="A3" s="88"/>
      <c r="B3" s="89"/>
      <c r="C3" s="89"/>
      <c r="D3" s="201"/>
      <c r="E3" s="201"/>
      <c r="F3" s="201"/>
      <c r="G3" s="201"/>
      <c r="H3" s="201"/>
      <c r="I3" s="201"/>
      <c r="J3" s="202"/>
      <c r="K3" t="str">
        <f>K2&amp;", "&amp;'List 1.'!C21</f>
        <v xml:space="preserve"> , </v>
      </c>
    </row>
    <row r="4" spans="1:18" ht="9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t="s">
        <v>150</v>
      </c>
    </row>
    <row r="5" spans="1:18" x14ac:dyDescent="0.25">
      <c r="A5" s="2" t="s">
        <v>66</v>
      </c>
      <c r="B5" s="59"/>
      <c r="C5" s="59"/>
      <c r="D5" s="59"/>
      <c r="E5" s="59"/>
      <c r="F5" s="59"/>
      <c r="G5" s="59"/>
      <c r="H5" s="59"/>
      <c r="I5" s="59"/>
      <c r="J5" s="59"/>
    </row>
    <row r="6" spans="1:18" ht="5.25" customHeight="1" x14ac:dyDescent="0.25">
      <c r="A6" s="2"/>
      <c r="B6" s="59"/>
      <c r="C6" s="59"/>
      <c r="D6" s="59"/>
      <c r="E6" s="59"/>
      <c r="F6" s="59"/>
      <c r="G6" s="59"/>
      <c r="H6" s="59"/>
      <c r="I6" s="59"/>
      <c r="J6" s="59"/>
    </row>
    <row r="7" spans="1:18" x14ac:dyDescent="0.25">
      <c r="A7" s="2" t="s">
        <v>95</v>
      </c>
      <c r="G7" s="206" t="s">
        <v>148</v>
      </c>
      <c r="H7" s="206"/>
      <c r="I7" s="206"/>
      <c r="J7" s="206"/>
    </row>
    <row r="8" spans="1:18" ht="9" customHeight="1" x14ac:dyDescent="0.25">
      <c r="G8" s="207"/>
      <c r="H8" s="207"/>
      <c r="I8" s="207"/>
      <c r="J8" s="207"/>
    </row>
    <row r="9" spans="1:18" ht="57" customHeight="1" x14ac:dyDescent="0.25">
      <c r="A9" s="174"/>
      <c r="B9" s="175"/>
      <c r="C9" s="175"/>
      <c r="D9" s="175"/>
      <c r="E9" s="175"/>
      <c r="F9" s="175"/>
      <c r="G9" s="175"/>
      <c r="H9" s="175"/>
      <c r="I9" s="175"/>
      <c r="J9" s="176"/>
      <c r="K9" s="21">
        <f>IF(A9=0,0,1)</f>
        <v>0</v>
      </c>
      <c r="R9" s="141">
        <f>LEN(A9)</f>
        <v>0</v>
      </c>
    </row>
    <row r="10" spans="1:18" ht="57" customHeight="1" x14ac:dyDescent="0.25">
      <c r="A10" s="177"/>
      <c r="B10" s="178"/>
      <c r="C10" s="178"/>
      <c r="D10" s="178"/>
      <c r="E10" s="178"/>
      <c r="F10" s="178"/>
      <c r="G10" s="178"/>
      <c r="H10" s="178"/>
      <c r="I10" s="178"/>
      <c r="J10" s="179"/>
    </row>
    <row r="11" spans="1:18" ht="57" customHeight="1" x14ac:dyDescent="0.25">
      <c r="A11" s="180"/>
      <c r="B11" s="181"/>
      <c r="C11" s="181"/>
      <c r="D11" s="181"/>
      <c r="E11" s="181"/>
      <c r="F11" s="181"/>
      <c r="G11" s="181"/>
      <c r="H11" s="181"/>
      <c r="I11" s="181"/>
      <c r="J11" s="182"/>
    </row>
    <row r="12" spans="1:18" ht="15" customHeight="1" x14ac:dyDescent="0.25">
      <c r="A12" s="195" t="str">
        <f>IF(K9=0,K12&amp;" "&amp;L12&amp;" "&amp;K12,"")</f>
        <v>↑ Potrebno popuniti ↑</v>
      </c>
      <c r="B12" s="195"/>
      <c r="C12" s="195"/>
      <c r="D12" s="195"/>
      <c r="E12" s="195"/>
      <c r="F12" s="195"/>
      <c r="G12" s="195"/>
      <c r="H12" s="195"/>
      <c r="I12" s="195"/>
      <c r="J12" s="195"/>
      <c r="K12" s="52" t="s">
        <v>86</v>
      </c>
      <c r="L12" t="s">
        <v>87</v>
      </c>
    </row>
    <row r="13" spans="1:18" x14ac:dyDescent="0.25">
      <c r="A13" s="2" t="s">
        <v>76</v>
      </c>
    </row>
    <row r="14" spans="1:18" ht="9" customHeight="1" x14ac:dyDescent="0.25"/>
    <row r="15" spans="1:18" ht="147.75" customHeight="1" x14ac:dyDescent="0.25">
      <c r="A15" s="203"/>
      <c r="B15" s="204"/>
      <c r="C15" s="204"/>
      <c r="D15" s="204"/>
      <c r="E15" s="204"/>
      <c r="F15" s="204"/>
      <c r="G15" s="204"/>
      <c r="H15" s="204"/>
      <c r="I15" s="204"/>
      <c r="J15" s="205"/>
      <c r="K15">
        <f>IF(A15=0,0,1)</f>
        <v>0</v>
      </c>
      <c r="R15" s="141">
        <f>LEN(A15)</f>
        <v>0</v>
      </c>
    </row>
    <row r="16" spans="1:18" ht="15" customHeight="1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8" ht="15" customHeight="1" x14ac:dyDescent="0.25">
      <c r="A17" s="60" t="s">
        <v>77</v>
      </c>
      <c r="B17" s="56"/>
      <c r="C17" s="56"/>
      <c r="D17" s="56"/>
      <c r="E17" s="56"/>
      <c r="F17" s="56"/>
      <c r="G17" s="56"/>
      <c r="H17" s="56"/>
      <c r="I17" s="56"/>
      <c r="J17" s="56"/>
    </row>
    <row r="18" spans="1:18" ht="7.5" customHeight="1" x14ac:dyDescent="0.25">
      <c r="A18" s="60"/>
      <c r="B18" s="56"/>
      <c r="C18" s="56"/>
      <c r="D18" s="56"/>
      <c r="E18" s="56"/>
      <c r="F18" s="56"/>
      <c r="G18" s="56"/>
      <c r="H18" s="56"/>
      <c r="I18" s="56"/>
      <c r="J18" s="56"/>
    </row>
    <row r="19" spans="1:18" ht="99.75" customHeight="1" x14ac:dyDescent="0.25">
      <c r="A19" s="203"/>
      <c r="B19" s="204"/>
      <c r="C19" s="204"/>
      <c r="D19" s="204"/>
      <c r="E19" s="204"/>
      <c r="F19" s="204"/>
      <c r="G19" s="204"/>
      <c r="H19" s="204"/>
      <c r="I19" s="204"/>
      <c r="J19" s="205"/>
      <c r="K19">
        <f>IF(A19=0,0,1)</f>
        <v>0</v>
      </c>
      <c r="R19" s="141">
        <f>LEN(A19)</f>
        <v>0</v>
      </c>
    </row>
    <row r="20" spans="1:18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t="s">
        <v>216</v>
      </c>
      <c r="M20" t="s">
        <v>205</v>
      </c>
      <c r="O20" t="s">
        <v>213</v>
      </c>
    </row>
    <row r="21" spans="1:18" ht="5.25" customHeight="1" x14ac:dyDescent="0.25"/>
    <row r="22" spans="1:18" x14ac:dyDescent="0.25">
      <c r="B22" t="s">
        <v>63</v>
      </c>
      <c r="C22" s="208"/>
      <c r="D22" s="208"/>
      <c r="E22" s="117" t="str">
        <f>IF(K22=0,K20,IF(O22="greška",M20,IF(P22=0,O20,"")))</f>
        <v>← Potrebno je upisati datum</v>
      </c>
      <c r="K22">
        <f>IF(C22&gt;0,1,0)</f>
        <v>0</v>
      </c>
      <c r="L22" s="97">
        <f>'List 2.'!G15</f>
        <v>0</v>
      </c>
      <c r="N22">
        <f>L22-C22</f>
        <v>0</v>
      </c>
      <c r="O22">
        <f>IFERROR(N22,"greška")</f>
        <v>0</v>
      </c>
      <c r="P22">
        <f>IF(C22&lt;L22,0,1)</f>
        <v>1</v>
      </c>
      <c r="Q22" s="128">
        <f>IF(O22="greška",0,IF(K22=1,IF(P22=1,1,0),0))</f>
        <v>0</v>
      </c>
      <c r="R22" s="141">
        <f>LEN(C22)*C22</f>
        <v>0</v>
      </c>
    </row>
    <row r="24" spans="1:18" x14ac:dyDescent="0.25">
      <c r="B24" s="151" t="s">
        <v>64</v>
      </c>
      <c r="C24" s="151"/>
      <c r="D24" s="151"/>
      <c r="E24" s="151"/>
      <c r="G24" s="151" t="s">
        <v>65</v>
      </c>
      <c r="H24" s="151"/>
      <c r="I24" s="151"/>
      <c r="J24" s="151"/>
      <c r="O24" t="s">
        <v>154</v>
      </c>
    </row>
    <row r="25" spans="1:18" x14ac:dyDescent="0.25">
      <c r="L25" t="s">
        <v>153</v>
      </c>
      <c r="N25">
        <v>3</v>
      </c>
      <c r="O25">
        <f>O2+K9+Q22</f>
        <v>0</v>
      </c>
    </row>
    <row r="26" spans="1:18" x14ac:dyDescent="0.25">
      <c r="B26" s="187"/>
      <c r="C26" s="187"/>
      <c r="D26" s="187"/>
      <c r="E26" s="187"/>
      <c r="G26" s="187"/>
      <c r="H26" s="187"/>
      <c r="I26" s="187"/>
      <c r="J26" s="187"/>
    </row>
    <row r="27" spans="1:18" x14ac:dyDescent="0.25">
      <c r="B27" s="189" t="str">
        <f>'List 1.'!M13</f>
        <v xml:space="preserve"> </v>
      </c>
      <c r="C27" s="189"/>
      <c r="D27" s="189"/>
      <c r="E27" s="189"/>
      <c r="G27" s="189" t="str">
        <f>'List 2.'!K21</f>
        <v/>
      </c>
      <c r="H27" s="189"/>
      <c r="I27" s="189"/>
      <c r="J27" s="189"/>
    </row>
    <row r="28" spans="1:18" x14ac:dyDescent="0.25">
      <c r="B28" s="20"/>
      <c r="C28" s="20"/>
      <c r="D28" s="20"/>
      <c r="E28" s="20"/>
      <c r="G28" s="20"/>
      <c r="H28" s="20"/>
      <c r="I28" s="20"/>
      <c r="J28" s="20"/>
    </row>
    <row r="29" spans="1:18" x14ac:dyDescent="0.25">
      <c r="A29" s="151" t="str">
        <f>IF('List 1.'!M46='List 1.'!N46,IF('List 2.'!M31='List 2.'!N31,IF('List 3.'!N25='List 3.'!O25,L30&amp;TEXT(R30,"0.000"),'List 3.'!L29),'List 2.'!K32),'List 1.'!K47)</f>
        <v>List 1. nije ispravno popunjen</v>
      </c>
      <c r="B29" s="151"/>
      <c r="C29" s="151"/>
      <c r="D29" s="151"/>
      <c r="E29" s="151"/>
      <c r="F29" s="151"/>
      <c r="G29" s="151"/>
      <c r="H29" s="151"/>
      <c r="I29" s="151"/>
      <c r="J29" s="151"/>
      <c r="L29" t="s">
        <v>176</v>
      </c>
    </row>
    <row r="30" spans="1:18" x14ac:dyDescent="0.25">
      <c r="L30" t="s">
        <v>230</v>
      </c>
      <c r="R30" s="141">
        <f>R22+R19+R15+R9</f>
        <v>0</v>
      </c>
    </row>
  </sheetData>
  <sheetProtection algorithmName="SHA-512" hashValue="/bNA3QrBTZNQFTiZk1QXey/deqeXMPupCb8tFHZTtmftDm9qltbil/bbhLy+UkhVL0SabN+7R+JALRhR4qyEkA==" saltValue="P4Oep9HrqBpvI1wLtc3k+Q==" spinCount="100000" sheet="1" objects="1" scenarios="1" selectLockedCells="1"/>
  <mergeCells count="14">
    <mergeCell ref="A29:J29"/>
    <mergeCell ref="A9:J11"/>
    <mergeCell ref="D2:J3"/>
    <mergeCell ref="A12:J12"/>
    <mergeCell ref="A15:J15"/>
    <mergeCell ref="A19:J19"/>
    <mergeCell ref="G7:J8"/>
    <mergeCell ref="B26:E26"/>
    <mergeCell ref="G26:J26"/>
    <mergeCell ref="C22:D22"/>
    <mergeCell ref="B24:E24"/>
    <mergeCell ref="G24:J24"/>
    <mergeCell ref="B27:E27"/>
    <mergeCell ref="G27:J27"/>
  </mergeCells>
  <conditionalFormatting sqref="A3:A6">
    <cfRule type="containsText" dxfId="322" priority="9" operator="containsText" text="Osobni podaci iz Obrazca 1.A nisu popunjeni">
      <formula>NOT(ISERROR(SEARCH("Osobni podaci iz Obrazca 1.A nisu popunjeni",A3)))</formula>
    </cfRule>
  </conditionalFormatting>
  <conditionalFormatting sqref="A9:J11">
    <cfRule type="cellIs" dxfId="321" priority="5" operator="equal">
      <formula>0</formula>
    </cfRule>
  </conditionalFormatting>
  <conditionalFormatting sqref="A29:J29">
    <cfRule type="containsText" dxfId="320" priority="1" operator="containsText" text="kontrolni broj">
      <formula>NOT(ISERROR(SEARCH("kontrolni broj",A29)))</formula>
    </cfRule>
    <cfRule type="containsText" dxfId="319" priority="2" operator="containsText" text="ispravno">
      <formula>NOT(ISERROR(SEARCH("ispravno",A29)))</formula>
    </cfRule>
  </conditionalFormatting>
  <conditionalFormatting sqref="C22:D22">
    <cfRule type="expression" dxfId="318" priority="10">
      <formula>$Q$22&lt;1</formula>
    </cfRule>
  </conditionalFormatting>
  <conditionalFormatting sqref="D2:J3">
    <cfRule type="containsText" dxfId="317" priority="3" operator="containsText" text="osobni podaci">
      <formula>NOT(ISERROR(SEARCH("osobni podaci",D2)))</formula>
    </cfRule>
  </conditionalFormatting>
  <dataValidations count="4">
    <dataValidation type="textLength" operator="lessThan" allowBlank="1" showInputMessage="1" showErrorMessage="1" error="Maksimalan broj znakova (s prazninama) je 1230" sqref="A9:J11" xr:uid="{00000000-0002-0000-0200-000000000000}">
      <formula1>1230</formula1>
    </dataValidation>
    <dataValidation type="textLength" operator="lessThan" allowBlank="1" showInputMessage="1" showErrorMessage="1" error="Maksimalan broj znakova (s prazninama) je 1000" sqref="A15:J15" xr:uid="{00000000-0002-0000-0200-000001000000}">
      <formula1>1000</formula1>
    </dataValidation>
    <dataValidation type="textLength" operator="lessThan" allowBlank="1" showInputMessage="1" showErrorMessage="1" errorTitle="Duljina teksta" error="Maksimalan broj znakova (s prazninama) je 620" sqref="A19:J19" xr:uid="{00000000-0002-0000-0200-000002000000}">
      <formula1>621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C22:D22" xr:uid="{DF2B1030-DB39-407E-919F-E5F643503481}">
      <formula1>45291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>
    <oddHeader>&amp;LIzvješće o učinkovitosti rada - &amp;"-,Podebljano"List 3. &amp;"-,Uobičajeno"- Polugodišnja kontrola učinkovitosti rada</oddHeader>
    <oddFooter>&amp;C&amp;P/&amp;N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S115"/>
  <sheetViews>
    <sheetView showGridLines="0" showRowColHeaders="0" showRuler="0" view="pageLayout" zoomScaleNormal="100" workbookViewId="0">
      <selection activeCell="A84" sqref="A84:I91"/>
    </sheetView>
  </sheetViews>
  <sheetFormatPr defaultRowHeight="15" x14ac:dyDescent="0.25"/>
  <cols>
    <col min="1" max="1" width="3.28515625" customWidth="1"/>
    <col min="2" max="2" width="6.28515625" customWidth="1"/>
    <col min="3" max="3" width="17.28515625" customWidth="1"/>
    <col min="4" max="4" width="12.7109375" customWidth="1"/>
    <col min="5" max="5" width="12.42578125" customWidth="1"/>
    <col min="6" max="6" width="12.7109375" customWidth="1"/>
    <col min="7" max="7" width="12.140625" customWidth="1"/>
    <col min="8" max="8" width="10.5703125" style="24" customWidth="1"/>
    <col min="9" max="9" width="11.42578125" customWidth="1"/>
    <col min="10" max="10" width="9.140625" hidden="1" customWidth="1"/>
    <col min="11" max="11" width="10.7109375" hidden="1" customWidth="1"/>
    <col min="12" max="14" width="9.140625" hidden="1" customWidth="1"/>
    <col min="15" max="15" width="15.28515625" hidden="1" customWidth="1"/>
    <col min="16" max="16" width="9.140625" hidden="1" customWidth="1"/>
    <col min="17" max="17" width="9.140625" style="142" hidden="1" customWidth="1"/>
    <col min="18" max="19" width="9.140625" hidden="1" customWidth="1"/>
    <col min="20" max="24" width="9.140625" customWidth="1"/>
  </cols>
  <sheetData>
    <row r="1" spans="1:19" x14ac:dyDescent="0.25">
      <c r="A1" s="87" t="s">
        <v>74</v>
      </c>
      <c r="B1" s="73"/>
      <c r="C1" s="73"/>
      <c r="D1" s="191" t="str">
        <f>IF('List 1.'!J13+'List 1.'!J15+'List 1.'!J21&lt;3,'List 3.'!K4,K2)</f>
        <v>Osobni podaci nisu ispravno popunjeni</v>
      </c>
      <c r="E1" s="191"/>
      <c r="F1" s="191"/>
      <c r="G1" s="191"/>
      <c r="H1" s="191"/>
      <c r="I1" s="192"/>
      <c r="K1" t="str">
        <f>UPPER('List 1.'!B13&amp;" "&amp;'List 1.'!B15)</f>
        <v xml:space="preserve"> </v>
      </c>
      <c r="O1" s="128">
        <f>IF(D1=K3,0,1)</f>
        <v>0</v>
      </c>
      <c r="Q1" s="142" t="s">
        <v>228</v>
      </c>
    </row>
    <row r="2" spans="1:19" x14ac:dyDescent="0.25">
      <c r="A2" s="88"/>
      <c r="B2" s="89"/>
      <c r="C2" s="89"/>
      <c r="D2" s="193"/>
      <c r="E2" s="193"/>
      <c r="F2" s="193"/>
      <c r="G2" s="193"/>
      <c r="H2" s="193"/>
      <c r="I2" s="194"/>
      <c r="J2" s="2"/>
      <c r="K2" t="str">
        <f>K1&amp;", "&amp;'List 1.'!C21</f>
        <v xml:space="preserve"> , </v>
      </c>
      <c r="O2" s="52"/>
      <c r="P2" s="52"/>
    </row>
    <row r="3" spans="1:19" ht="21" customHeight="1" x14ac:dyDescent="0.25">
      <c r="A3" s="2" t="s">
        <v>126</v>
      </c>
      <c r="D3" s="49"/>
      <c r="E3" s="50"/>
      <c r="F3" s="58"/>
      <c r="G3" s="58"/>
      <c r="H3" s="58"/>
      <c r="K3" t="s">
        <v>150</v>
      </c>
      <c r="O3" s="52"/>
      <c r="P3" s="52"/>
    </row>
    <row r="4" spans="1:19" ht="13.5" customHeight="1" x14ac:dyDescent="0.25">
      <c r="A4" s="2"/>
      <c r="B4" s="59"/>
      <c r="C4" s="59"/>
      <c r="D4" s="59"/>
      <c r="E4" s="59"/>
      <c r="F4" s="59"/>
      <c r="G4" s="59"/>
      <c r="H4" s="59"/>
      <c r="I4" s="59"/>
      <c r="J4" s="59"/>
      <c r="O4" s="52"/>
      <c r="P4" s="52"/>
    </row>
    <row r="5" spans="1:19" x14ac:dyDescent="0.25">
      <c r="A5" s="2" t="s">
        <v>78</v>
      </c>
      <c r="H5"/>
      <c r="O5" s="52"/>
      <c r="P5" s="52"/>
    </row>
    <row r="6" spans="1:19" ht="12" customHeight="1" x14ac:dyDescent="0.25">
      <c r="H6"/>
      <c r="O6" s="52"/>
      <c r="P6" s="52"/>
    </row>
    <row r="7" spans="1:19" ht="27" customHeight="1" x14ac:dyDescent="0.25">
      <c r="A7" s="121" t="s">
        <v>62</v>
      </c>
      <c r="B7" s="254" t="s">
        <v>193</v>
      </c>
      <c r="C7" s="255"/>
      <c r="D7" s="255"/>
      <c r="E7" s="255"/>
      <c r="F7" s="122" t="s">
        <v>71</v>
      </c>
      <c r="G7" s="256" t="s">
        <v>70</v>
      </c>
      <c r="H7" s="256"/>
      <c r="I7" s="256"/>
      <c r="J7" t="s">
        <v>92</v>
      </c>
      <c r="K7" t="s">
        <v>92</v>
      </c>
      <c r="L7" t="s">
        <v>90</v>
      </c>
      <c r="M7" t="s">
        <v>90</v>
      </c>
      <c r="N7" t="s">
        <v>90</v>
      </c>
      <c r="O7" s="52" t="s">
        <v>91</v>
      </c>
      <c r="P7" s="52" t="s">
        <v>91</v>
      </c>
    </row>
    <row r="8" spans="1:19" ht="69.75" customHeight="1" x14ac:dyDescent="0.25">
      <c r="A8" s="55" t="s">
        <v>0</v>
      </c>
      <c r="B8" s="253">
        <f>'List 2.'!B9</f>
        <v>0</v>
      </c>
      <c r="C8" s="253"/>
      <c r="D8" s="253"/>
      <c r="E8" s="253"/>
      <c r="F8" s="68"/>
      <c r="G8" s="183"/>
      <c r="H8" s="183"/>
      <c r="I8" s="183"/>
      <c r="J8" s="34">
        <f>'List 2.'!J9</f>
        <v>0</v>
      </c>
      <c r="K8" s="56">
        <f>IF(J8=1,0,1)</f>
        <v>1</v>
      </c>
      <c r="L8" s="56">
        <f>IF(F8=0,0,1)</f>
        <v>0</v>
      </c>
      <c r="M8" s="56">
        <f>IF(F8=$R$8,$S$8,IF(F8=$R$9,$S$9,IF(F8=$R$10,$S$10,0)))</f>
        <v>0</v>
      </c>
      <c r="N8" s="56">
        <f>IF(M8=0,0,IF(F8=0,0,1))</f>
        <v>0</v>
      </c>
      <c r="O8" s="56">
        <f t="shared" ref="O8:O9" si="0">IF(J8=0,0,IF(L8=0,1,IF(M8&gt;0,IF(G8=0,0,1))))</f>
        <v>0</v>
      </c>
      <c r="P8" s="52">
        <f t="shared" ref="P8:P11" si="1">IF(J8=0,0,IF(M8=0,0,IF(G8=0,0,1)))</f>
        <v>0</v>
      </c>
      <c r="Q8" s="144">
        <f>LEN(F8)+LEN(G8)</f>
        <v>0</v>
      </c>
      <c r="R8" t="s">
        <v>67</v>
      </c>
      <c r="S8">
        <v>0</v>
      </c>
    </row>
    <row r="9" spans="1:19" ht="69.75" customHeight="1" x14ac:dyDescent="0.25">
      <c r="A9" s="55" t="s">
        <v>8</v>
      </c>
      <c r="B9" s="253" t="str">
        <f>IF('List 2.'!J10=0,"/",'List 2.'!B10)</f>
        <v>/</v>
      </c>
      <c r="C9" s="253"/>
      <c r="D9" s="253"/>
      <c r="E9" s="253"/>
      <c r="F9" s="68"/>
      <c r="G9" s="183"/>
      <c r="H9" s="183"/>
      <c r="I9" s="183"/>
      <c r="J9" s="34">
        <f>'List 2.'!J10</f>
        <v>0</v>
      </c>
      <c r="K9" s="56">
        <f>IF(J9=1,0,1)</f>
        <v>1</v>
      </c>
      <c r="L9" s="56">
        <f>IF(F9=0,0,1)</f>
        <v>0</v>
      </c>
      <c r="M9" s="56">
        <f t="shared" ref="M9:M12" si="2">IF(F9=$R$8,$S$8,IF(F9=$R$9,$S$9,IF(F9=$R$10,$S$10,0)))</f>
        <v>0</v>
      </c>
      <c r="N9" s="56">
        <f t="shared" ref="N9:N12" si="3">IF(M9=0,0,IF(F9=0,0,1))</f>
        <v>0</v>
      </c>
      <c r="O9" s="56">
        <f t="shared" si="0"/>
        <v>0</v>
      </c>
      <c r="P9" s="52">
        <f t="shared" si="1"/>
        <v>0</v>
      </c>
      <c r="Q9" s="144">
        <f t="shared" ref="Q9:Q12" si="4">LEN(F9)+LEN(G9)</f>
        <v>0</v>
      </c>
      <c r="R9" t="s">
        <v>68</v>
      </c>
      <c r="S9">
        <v>1</v>
      </c>
    </row>
    <row r="10" spans="1:19" ht="69.75" customHeight="1" x14ac:dyDescent="0.25">
      <c r="A10" s="55" t="s">
        <v>48</v>
      </c>
      <c r="B10" s="253" t="str">
        <f>IF('List 2.'!J11=0,"/",'List 2.'!B11)</f>
        <v>/</v>
      </c>
      <c r="C10" s="253"/>
      <c r="D10" s="253"/>
      <c r="E10" s="253"/>
      <c r="F10" s="68"/>
      <c r="G10" s="183"/>
      <c r="H10" s="183"/>
      <c r="I10" s="183"/>
      <c r="J10" s="34">
        <f>'List 2.'!J11</f>
        <v>0</v>
      </c>
      <c r="K10" s="56">
        <f>IF(J10=1,0,1)</f>
        <v>1</v>
      </c>
      <c r="L10" s="56">
        <f>IF(F10=0,0,1)</f>
        <v>0</v>
      </c>
      <c r="M10" s="56">
        <f t="shared" si="2"/>
        <v>0</v>
      </c>
      <c r="N10" s="56">
        <f t="shared" si="3"/>
        <v>0</v>
      </c>
      <c r="O10" s="56">
        <f>IF(J10=0,0,IF(L10=0,1,IF(M10&gt;0,IF(G10=0,0,1))))</f>
        <v>0</v>
      </c>
      <c r="P10" s="52">
        <f t="shared" si="1"/>
        <v>0</v>
      </c>
      <c r="Q10" s="144">
        <f t="shared" si="4"/>
        <v>0</v>
      </c>
      <c r="R10" t="s">
        <v>69</v>
      </c>
      <c r="S10">
        <v>2</v>
      </c>
    </row>
    <row r="11" spans="1:19" ht="69.75" customHeight="1" x14ac:dyDescent="0.25">
      <c r="A11" s="55" t="s">
        <v>84</v>
      </c>
      <c r="B11" s="253" t="str">
        <f>IF('List 2.'!J12=0,"/",'List 2.'!B12)</f>
        <v>/</v>
      </c>
      <c r="C11" s="253"/>
      <c r="D11" s="253"/>
      <c r="E11" s="253"/>
      <c r="F11" s="68"/>
      <c r="G11" s="183"/>
      <c r="H11" s="183"/>
      <c r="I11" s="183"/>
      <c r="J11" s="34">
        <f>'List 2.'!J12</f>
        <v>0</v>
      </c>
      <c r="K11" s="56">
        <f>IF(J11=1,0,1)</f>
        <v>1</v>
      </c>
      <c r="L11" s="56">
        <f>IF(F11=0,0,1)</f>
        <v>0</v>
      </c>
      <c r="M11" s="56">
        <f t="shared" si="2"/>
        <v>0</v>
      </c>
      <c r="N11" s="56">
        <f t="shared" si="3"/>
        <v>0</v>
      </c>
      <c r="O11" s="56">
        <f t="shared" ref="O11:O12" si="5">IF(J11=0,0,IF(L11=0,1,IF(M11&gt;0,IF(G11=0,0,1))))</f>
        <v>0</v>
      </c>
      <c r="P11" s="52">
        <f t="shared" si="1"/>
        <v>0</v>
      </c>
      <c r="Q11" s="144">
        <f t="shared" si="4"/>
        <v>0</v>
      </c>
    </row>
    <row r="12" spans="1:19" ht="69.75" customHeight="1" x14ac:dyDescent="0.25">
      <c r="A12" s="55" t="s">
        <v>85</v>
      </c>
      <c r="B12" s="253" t="str">
        <f>IF('List 2.'!J13=0,"/",'List 2.'!B13)</f>
        <v>/</v>
      </c>
      <c r="C12" s="253"/>
      <c r="D12" s="253"/>
      <c r="E12" s="253"/>
      <c r="F12" s="68"/>
      <c r="G12" s="183"/>
      <c r="H12" s="183"/>
      <c r="I12" s="183"/>
      <c r="J12" s="34">
        <f>'List 2.'!J13</f>
        <v>0</v>
      </c>
      <c r="K12" s="56">
        <f>IF(J12=1,0,1)</f>
        <v>1</v>
      </c>
      <c r="L12" s="56">
        <f>IF(F12=0,0,1)</f>
        <v>0</v>
      </c>
      <c r="M12" s="56">
        <f t="shared" si="2"/>
        <v>0</v>
      </c>
      <c r="N12" s="56">
        <f t="shared" si="3"/>
        <v>0</v>
      </c>
      <c r="O12" s="56">
        <f t="shared" si="5"/>
        <v>0</v>
      </c>
      <c r="P12" s="52">
        <f>IF(J12=0,0,IF(M12=0,0,IF(G12=0,0,1)))</f>
        <v>0</v>
      </c>
      <c r="Q12" s="144">
        <f t="shared" si="4"/>
        <v>0</v>
      </c>
    </row>
    <row r="13" spans="1:19" ht="12" customHeight="1" x14ac:dyDescent="0.25">
      <c r="A13" s="56"/>
      <c r="B13" s="49"/>
      <c r="C13" s="49"/>
      <c r="D13" s="49"/>
      <c r="E13" s="49"/>
      <c r="F13" s="64" t="str">
        <f>IF(J13&gt;L13,L14,"")</f>
        <v/>
      </c>
      <c r="G13" s="252" t="str">
        <f>IF(J13&gt;L13,"",IF(N13=O13,"",L14))</f>
        <v/>
      </c>
      <c r="H13" s="252"/>
      <c r="I13" s="252"/>
      <c r="J13" s="52">
        <f>SUM(J8:J12)</f>
        <v>0</v>
      </c>
      <c r="K13" s="56"/>
      <c r="L13" s="56">
        <f>SUM(L8:L12)</f>
        <v>0</v>
      </c>
      <c r="M13" s="56"/>
      <c r="N13" s="56">
        <f>COUNTIF(N8:N12,1)</f>
        <v>0</v>
      </c>
      <c r="O13" s="56">
        <f>SUM(O8:O12)</f>
        <v>0</v>
      </c>
      <c r="P13" s="56">
        <f>COUNTIF(P8:P12,1)</f>
        <v>0</v>
      </c>
      <c r="Q13" s="145"/>
      <c r="R13" s="128">
        <f>IF(F13=L14,0,IF(G13=L14,0,1))</f>
        <v>1</v>
      </c>
    </row>
    <row r="14" spans="1:19" ht="17.25" customHeight="1" x14ac:dyDescent="0.25">
      <c r="A14" s="257" t="str">
        <f>IF(J13+J21&gt;L13+L21,M14,IF(N13+N21=O13+O21,"",J14))</f>
        <v/>
      </c>
      <c r="B14" s="257"/>
      <c r="C14" s="257"/>
      <c r="D14" s="257"/>
      <c r="E14" s="257"/>
      <c r="F14" s="257"/>
      <c r="G14" s="257"/>
      <c r="H14" s="257"/>
      <c r="I14" s="257"/>
      <c r="J14" t="s">
        <v>88</v>
      </c>
      <c r="L14" s="52" t="s">
        <v>86</v>
      </c>
      <c r="M14" t="s">
        <v>89</v>
      </c>
      <c r="O14" s="52"/>
      <c r="P14" s="52"/>
    </row>
    <row r="15" spans="1:19" x14ac:dyDescent="0.25">
      <c r="A15" s="2" t="s">
        <v>79</v>
      </c>
      <c r="H15"/>
      <c r="O15" s="52"/>
      <c r="P15" s="52"/>
      <c r="R15" s="128">
        <f>IF(F16=L16,0,IF(G16=L16,0,1))</f>
        <v>1</v>
      </c>
    </row>
    <row r="16" spans="1:19" ht="12" customHeight="1" x14ac:dyDescent="0.25">
      <c r="F16" s="64" t="str">
        <f>IF(J21&gt;L21,L16,"")</f>
        <v/>
      </c>
      <c r="G16" s="260" t="str">
        <f>IF(J21&gt;L21,"",IF(N21=O21,"",L16))</f>
        <v/>
      </c>
      <c r="H16" s="260"/>
      <c r="I16" s="260"/>
      <c r="L16" t="s">
        <v>93</v>
      </c>
      <c r="O16" s="52"/>
      <c r="P16" s="52"/>
    </row>
    <row r="17" spans="1:18" ht="27" customHeight="1" x14ac:dyDescent="0.25">
      <c r="A17" s="121" t="s">
        <v>62</v>
      </c>
      <c r="B17" s="256" t="s">
        <v>80</v>
      </c>
      <c r="C17" s="256"/>
      <c r="D17" s="256"/>
      <c r="E17" s="256"/>
      <c r="F17" s="122" t="s">
        <v>71</v>
      </c>
      <c r="G17" s="256" t="s">
        <v>70</v>
      </c>
      <c r="H17" s="256"/>
      <c r="I17" s="256"/>
    </row>
    <row r="18" spans="1:18" ht="63" customHeight="1" x14ac:dyDescent="0.25">
      <c r="A18" s="55" t="s">
        <v>0</v>
      </c>
      <c r="B18" s="184"/>
      <c r="C18" s="185"/>
      <c r="D18" s="185"/>
      <c r="E18" s="186"/>
      <c r="F18" s="68"/>
      <c r="G18" s="183"/>
      <c r="H18" s="183"/>
      <c r="I18" s="183"/>
      <c r="J18" s="56">
        <f>IF(B18=0,0,1)</f>
        <v>0</v>
      </c>
      <c r="K18" s="56">
        <f>IF(J18=1,0,1)</f>
        <v>1</v>
      </c>
      <c r="L18" s="56">
        <f>IF(F18=0,0,1)</f>
        <v>0</v>
      </c>
      <c r="M18" s="56">
        <f t="shared" ref="M18:M20" si="6">IF(F18=$R$8,$S$8,IF(F18=$R$9,$S$9,IF(F18=$R$10,$S$10,0)))</f>
        <v>0</v>
      </c>
      <c r="N18" s="56">
        <f t="shared" ref="N18:N20" si="7">IF(M18=0,0,IF(F18=0,0,1))</f>
        <v>0</v>
      </c>
      <c r="O18" s="56">
        <f t="shared" ref="O18:O20" si="8">IF(J18=0,0,IF(L18=0,1,IF(M18&gt;0,IF(G18=0,0,1))))</f>
        <v>0</v>
      </c>
      <c r="P18" s="52">
        <f>IF(J18=0,0,IF(M18=0,0,IF(G18=0,0,1)))</f>
        <v>0</v>
      </c>
      <c r="Q18" s="141">
        <f>LEN(B18)+LEN(F18)+LEN(G18)</f>
        <v>0</v>
      </c>
    </row>
    <row r="19" spans="1:18" ht="63" customHeight="1" x14ac:dyDescent="0.25">
      <c r="A19" s="55" t="s">
        <v>8</v>
      </c>
      <c r="B19" s="184"/>
      <c r="C19" s="185"/>
      <c r="D19" s="185"/>
      <c r="E19" s="186"/>
      <c r="F19" s="68"/>
      <c r="G19" s="183"/>
      <c r="H19" s="183"/>
      <c r="I19" s="183"/>
      <c r="J19" s="56">
        <f>IF(B19=0,0,1)</f>
        <v>0</v>
      </c>
      <c r="K19" s="56">
        <f>IF(J19=1,0,1)</f>
        <v>1</v>
      </c>
      <c r="L19" s="56">
        <f>IF(F19=0,0,1)</f>
        <v>0</v>
      </c>
      <c r="M19" s="56">
        <f t="shared" si="6"/>
        <v>0</v>
      </c>
      <c r="N19" s="56">
        <f t="shared" si="7"/>
        <v>0</v>
      </c>
      <c r="O19" s="56">
        <f t="shared" si="8"/>
        <v>0</v>
      </c>
      <c r="P19" s="52">
        <f>IF(J19=0,0,IF(M19=0,0,IF(G19=0,0,1)))</f>
        <v>0</v>
      </c>
      <c r="Q19" s="141">
        <f>LEN(B19)+LEN(F19)+LEN(G19)</f>
        <v>0</v>
      </c>
    </row>
    <row r="20" spans="1:18" s="2" customFormat="1" ht="63" customHeight="1" x14ac:dyDescent="0.25">
      <c r="A20" s="55" t="s">
        <v>48</v>
      </c>
      <c r="B20" s="184"/>
      <c r="C20" s="185"/>
      <c r="D20" s="185"/>
      <c r="E20" s="186"/>
      <c r="F20" s="68"/>
      <c r="G20" s="183"/>
      <c r="H20" s="183"/>
      <c r="I20" s="183"/>
      <c r="J20" s="56">
        <f>IF(B20=0,0,1)</f>
        <v>0</v>
      </c>
      <c r="K20" s="56">
        <f>IF(J20=1,0,1)</f>
        <v>1</v>
      </c>
      <c r="L20" s="56">
        <f>IF(F20=0,0,1)</f>
        <v>0</v>
      </c>
      <c r="M20" s="56">
        <f t="shared" si="6"/>
        <v>0</v>
      </c>
      <c r="N20" s="56">
        <f t="shared" si="7"/>
        <v>0</v>
      </c>
      <c r="O20" s="56">
        <f t="shared" si="8"/>
        <v>0</v>
      </c>
      <c r="P20" s="52">
        <f>IF(J20=0,0,IF(M20=0,0,IF(G20=0,0,1)))</f>
        <v>0</v>
      </c>
      <c r="Q20" s="141">
        <f>LEN(B20)+LEN(F20)+LEN(G20)</f>
        <v>0</v>
      </c>
    </row>
    <row r="21" spans="1:18" s="2" customFormat="1" x14ac:dyDescent="0.25">
      <c r="A21" s="56"/>
      <c r="B21" s="49"/>
      <c r="C21" s="49"/>
      <c r="D21" s="49"/>
      <c r="E21" s="49"/>
      <c r="F21" s="49"/>
      <c r="G21" s="57"/>
      <c r="H21" s="57"/>
      <c r="I21" s="57"/>
      <c r="J21" s="2">
        <f t="shared" ref="J21:O21" si="9">SUM(J18:J20)</f>
        <v>0</v>
      </c>
      <c r="K21" s="2">
        <f t="shared" si="9"/>
        <v>3</v>
      </c>
      <c r="L21" s="2">
        <f t="shared" si="9"/>
        <v>0</v>
      </c>
      <c r="M21" s="2">
        <f t="shared" si="9"/>
        <v>0</v>
      </c>
      <c r="N21" s="2">
        <f t="shared" si="9"/>
        <v>0</v>
      </c>
      <c r="O21" s="2">
        <f t="shared" si="9"/>
        <v>0</v>
      </c>
      <c r="P21" s="2">
        <f>COUNTIF(P18:P20,1)</f>
        <v>0</v>
      </c>
      <c r="Q21" s="146"/>
    </row>
    <row r="22" spans="1:18" s="2" customFormat="1" x14ac:dyDescent="0.25">
      <c r="A22" s="56"/>
      <c r="B22" s="49"/>
      <c r="C22" s="49"/>
      <c r="D22" s="49"/>
      <c r="E22" s="49"/>
      <c r="F22" s="49"/>
      <c r="G22" s="57"/>
      <c r="H22" s="57"/>
      <c r="I22" s="57"/>
      <c r="Q22" s="146"/>
    </row>
    <row r="23" spans="1:18" s="2" customFormat="1" x14ac:dyDescent="0.25">
      <c r="A23" s="2" t="s">
        <v>127</v>
      </c>
      <c r="B23" s="49"/>
      <c r="C23" s="49"/>
      <c r="D23" s="49"/>
      <c r="E23" s="49"/>
      <c r="F23" s="49"/>
      <c r="G23" s="57"/>
      <c r="H23" s="57"/>
      <c r="I23" s="57"/>
      <c r="Q23" s="146"/>
    </row>
    <row r="24" spans="1:18" s="2" customFormat="1" ht="15.75" thickBot="1" x14ac:dyDescent="0.3">
      <c r="A24" s="56"/>
      <c r="B24" s="49"/>
      <c r="C24" s="49"/>
      <c r="D24" s="49"/>
      <c r="E24" s="49"/>
      <c r="F24" s="49"/>
      <c r="G24" s="57"/>
      <c r="H24" s="57"/>
      <c r="I24" s="57"/>
      <c r="Q24" s="146"/>
    </row>
    <row r="25" spans="1:18" s="2" customFormat="1" ht="30" x14ac:dyDescent="0.25">
      <c r="A25" s="26" t="s">
        <v>0</v>
      </c>
      <c r="B25" s="27" t="s">
        <v>81</v>
      </c>
      <c r="C25" s="27"/>
      <c r="D25" s="98"/>
      <c r="E25" s="39" t="s">
        <v>32</v>
      </c>
      <c r="F25" s="99" t="s">
        <v>38</v>
      </c>
      <c r="G25" s="39" t="s">
        <v>29</v>
      </c>
      <c r="H25" s="40" t="s">
        <v>31</v>
      </c>
      <c r="I25" s="41" t="s">
        <v>30</v>
      </c>
      <c r="J25" s="2" t="s">
        <v>36</v>
      </c>
      <c r="K25" s="2" t="s">
        <v>51</v>
      </c>
      <c r="Q25" s="146"/>
    </row>
    <row r="26" spans="1:18" ht="15.75" thickBot="1" x14ac:dyDescent="0.3">
      <c r="A26" s="31" t="s">
        <v>50</v>
      </c>
      <c r="B26" s="32"/>
      <c r="C26" s="32"/>
      <c r="D26" s="32"/>
      <c r="E26" s="33">
        <f>COUNTA(G28:G35)*Podaci!B11</f>
        <v>160</v>
      </c>
      <c r="F26" s="100"/>
      <c r="G26" s="33">
        <f>SUM(G29:G35)</f>
        <v>0</v>
      </c>
      <c r="H26" s="45">
        <f>IF('List 1.'!K19=0,0,IF('List 1.'!K19=1,0.5,0.7))</f>
        <v>0</v>
      </c>
      <c r="I26" s="46">
        <f>IF('List 1.'!K19=0,0,ROUND(100/E26*G26*H26,2))</f>
        <v>0</v>
      </c>
      <c r="J26">
        <f>COUNTIF(G29:G35,Podaci!B14)</f>
        <v>0</v>
      </c>
      <c r="K26">
        <f>COUNTIF(G29:G35,0)</f>
        <v>4</v>
      </c>
      <c r="R26" s="128">
        <f>IF(K26=0,1,0)</f>
        <v>0</v>
      </c>
    </row>
    <row r="27" spans="1:18" ht="15.75" thickBot="1" x14ac:dyDescent="0.3">
      <c r="A27" s="101"/>
      <c r="F27" s="2"/>
      <c r="G27" s="102"/>
      <c r="H27" s="103"/>
      <c r="I27" s="2"/>
    </row>
    <row r="28" spans="1:18" ht="16.5" customHeight="1" thickTop="1" thickBot="1" x14ac:dyDescent="0.3">
      <c r="B28" s="4" t="s">
        <v>128</v>
      </c>
      <c r="C28" s="5"/>
      <c r="D28" s="6"/>
      <c r="E28" s="6"/>
      <c r="F28" s="53" t="str">
        <f>IF(F29=0,"↓","")</f>
        <v>↓</v>
      </c>
      <c r="G28" s="25"/>
    </row>
    <row r="29" spans="1:18" ht="90" customHeight="1" thickBot="1" x14ac:dyDescent="0.3">
      <c r="B29" s="211" t="s">
        <v>5</v>
      </c>
      <c r="C29" s="212"/>
      <c r="D29" s="212"/>
      <c r="E29" s="213"/>
      <c r="F29" s="48"/>
      <c r="G29" s="35">
        <f>IF(F29=$G$101,$I$101,IF(F29=$G$102,$I$102,IF(F29=$G$103,$I$103,IF(F29=$G$104,$I$104,0))))</f>
        <v>0</v>
      </c>
      <c r="H29" s="209" t="str">
        <f>IF(F29=0,"← Potrebno je odabrati ocjenu iz padajućeg izbornika","")</f>
        <v>← Potrebno je odabrati ocjenu iz padajućeg izbornika</v>
      </c>
      <c r="I29" s="210"/>
      <c r="Q29" s="141">
        <f>LEN(F29)*G29</f>
        <v>0</v>
      </c>
    </row>
    <row r="30" spans="1:18" ht="29.25" customHeight="1" thickTop="1" thickBot="1" x14ac:dyDescent="0.3">
      <c r="B30" s="218" t="s">
        <v>129</v>
      </c>
      <c r="C30" s="219"/>
      <c r="D30" s="219"/>
      <c r="E30" s="219"/>
      <c r="F30" s="53" t="str">
        <f>IF(F31=0,"↓","")</f>
        <v>↓</v>
      </c>
      <c r="G30" s="36"/>
    </row>
    <row r="31" spans="1:18" ht="75.75" customHeight="1" thickBot="1" x14ac:dyDescent="0.3">
      <c r="B31" s="211" t="s">
        <v>6</v>
      </c>
      <c r="C31" s="212"/>
      <c r="D31" s="212"/>
      <c r="E31" s="213"/>
      <c r="F31" s="48"/>
      <c r="G31" s="35">
        <f>IF(F31=$G$101,$I$101,IF(F31=$G$102,$I$102,IF(F31=$G$103,$I$103,IF(F31=$G$104,$I$104,0))))</f>
        <v>0</v>
      </c>
      <c r="H31" s="209" t="str">
        <f>IF(F31=0,"← Potrebno je odabrati ocjenu iz padajućeg izbornika","")</f>
        <v>← Potrebno je odabrati ocjenu iz padajućeg izbornika</v>
      </c>
      <c r="I31" s="210"/>
      <c r="Q31" s="141">
        <f>LEN(F31)*G31</f>
        <v>0</v>
      </c>
    </row>
    <row r="32" spans="1:18" ht="17.25" thickTop="1" thickBot="1" x14ac:dyDescent="0.3">
      <c r="B32" s="4" t="s">
        <v>130</v>
      </c>
      <c r="C32" s="5"/>
      <c r="D32" s="6"/>
      <c r="E32" s="6"/>
      <c r="F32" s="53" t="str">
        <f>IF(F33=0,"↓","")</f>
        <v>↓</v>
      </c>
      <c r="G32" s="36"/>
    </row>
    <row r="33" spans="1:18" ht="53.25" customHeight="1" thickBot="1" x14ac:dyDescent="0.3">
      <c r="B33" s="211" t="s">
        <v>7</v>
      </c>
      <c r="C33" s="212"/>
      <c r="D33" s="212"/>
      <c r="E33" s="213"/>
      <c r="F33" s="48"/>
      <c r="G33" s="35">
        <f>IF(F33=$G$101,$I$101,IF(F33=$G$102,$I$102,IF(F33=$G$103,$I$103,IF(F33=$G$104,$I$104,0))))</f>
        <v>0</v>
      </c>
      <c r="H33" s="209" t="str">
        <f>IF(F33=0,"← Potrebno je odabrati ocjenu iz padajućeg izbornika","")</f>
        <v>← Potrebno je odabrati ocjenu iz padajućeg izbornika</v>
      </c>
      <c r="I33" s="210"/>
      <c r="Q33" s="141">
        <f>LEN(F33)*G33</f>
        <v>0</v>
      </c>
    </row>
    <row r="34" spans="1:18" ht="18" customHeight="1" thickTop="1" thickBot="1" x14ac:dyDescent="0.3">
      <c r="B34" s="4" t="s">
        <v>238</v>
      </c>
      <c r="C34" s="5"/>
      <c r="D34" s="6"/>
      <c r="E34" s="6"/>
      <c r="F34" s="53" t="str">
        <f>IF(F35=0,"↓","")</f>
        <v>↓</v>
      </c>
      <c r="G34" s="36"/>
    </row>
    <row r="35" spans="1:18" ht="51.75" customHeight="1" thickBot="1" x14ac:dyDescent="0.3">
      <c r="B35" s="211" t="s">
        <v>239</v>
      </c>
      <c r="C35" s="212"/>
      <c r="D35" s="212"/>
      <c r="E35" s="213"/>
      <c r="F35" s="48"/>
      <c r="G35" s="35">
        <f>IF(F35=$G$101,$I$101,IF(F35=$G$102,$I$102,IF(F35=$G$103,$I$103,IF(F35=$G$104,$I$104,0))))</f>
        <v>0</v>
      </c>
      <c r="H35" s="209" t="str">
        <f>IF(F35=0,"← Potrebno je odabrati ocjenu iz padajućeg izbornika","")</f>
        <v>← Potrebno je odabrati ocjenu iz padajućeg izbornika</v>
      </c>
      <c r="I35" s="210"/>
      <c r="Q35" s="141">
        <f>LEN(F35)*G35</f>
        <v>0</v>
      </c>
    </row>
    <row r="36" spans="1:18" ht="15.75" thickTop="1" x14ac:dyDescent="0.25">
      <c r="F36" s="34"/>
      <c r="G36" s="34"/>
    </row>
    <row r="37" spans="1:18" x14ac:dyDescent="0.25">
      <c r="F37" s="34"/>
      <c r="G37" s="34"/>
    </row>
    <row r="38" spans="1:18" ht="15.75" thickBot="1" x14ac:dyDescent="0.3">
      <c r="F38" s="34"/>
      <c r="G38" s="34"/>
    </row>
    <row r="39" spans="1:18" s="43" customFormat="1" ht="30" x14ac:dyDescent="0.25">
      <c r="A39" s="26" t="s">
        <v>8</v>
      </c>
      <c r="B39" s="27" t="s">
        <v>9</v>
      </c>
      <c r="C39" s="27"/>
      <c r="D39" s="42"/>
      <c r="E39" s="39" t="s">
        <v>32</v>
      </c>
      <c r="F39" s="39" t="s">
        <v>38</v>
      </c>
      <c r="G39" s="39" t="s">
        <v>29</v>
      </c>
      <c r="H39" s="40" t="s">
        <v>31</v>
      </c>
      <c r="I39" s="41" t="s">
        <v>30</v>
      </c>
      <c r="J39" s="43" t="s">
        <v>36</v>
      </c>
      <c r="K39" s="43" t="s">
        <v>51</v>
      </c>
      <c r="Q39" s="147"/>
    </row>
    <row r="40" spans="1:18" ht="15.75" thickBot="1" x14ac:dyDescent="0.3">
      <c r="A40" s="31" t="s">
        <v>50</v>
      </c>
      <c r="B40" s="32"/>
      <c r="C40" s="32"/>
      <c r="D40" s="32"/>
      <c r="E40" s="33">
        <f>(COUNTIF(G42:G51,10)+COUNTIF(G42:G51,20)+COUNTIF(G42:G51,30)+COUNTIF(G42:G51,40))*Podaci!B11</f>
        <v>0</v>
      </c>
      <c r="F40" s="38"/>
      <c r="G40" s="38">
        <f>SUMIF(G42:G51,10)+SUMIF(G42:G51,20)+SUMIF(G42:G51,30)+SUMIF(G42:G51,40)</f>
        <v>0</v>
      </c>
      <c r="H40" s="45">
        <f>IF('List 1.'!K19=0,0,IF('List 1.'!K19=1,0.2,0.3))</f>
        <v>0</v>
      </c>
      <c r="I40" s="46">
        <f>IF(E40=0,0,ROUND(100/E40*G40*H40,2))</f>
        <v>0</v>
      </c>
      <c r="J40">
        <f>COUNTIF(G43:G51,Podaci!B14)</f>
        <v>0</v>
      </c>
      <c r="K40">
        <f>COUNTIF(G43:G51,0)</f>
        <v>5</v>
      </c>
      <c r="R40" s="128">
        <f>IF(K40=0,1,0)</f>
        <v>0</v>
      </c>
    </row>
    <row r="41" spans="1:18" ht="15.75" thickBot="1" x14ac:dyDescent="0.3">
      <c r="F41" s="34"/>
      <c r="G41" s="34"/>
    </row>
    <row r="42" spans="1:18" ht="32.25" customHeight="1" thickTop="1" thickBot="1" x14ac:dyDescent="0.3">
      <c r="B42" s="218" t="s">
        <v>131</v>
      </c>
      <c r="C42" s="219"/>
      <c r="D42" s="219"/>
      <c r="E42" s="219"/>
      <c r="F42" s="53" t="str">
        <f>IF(F43=0,"↓","")</f>
        <v>↓</v>
      </c>
      <c r="G42" s="36"/>
    </row>
    <row r="43" spans="1:18" ht="77.25" customHeight="1" thickBot="1" x14ac:dyDescent="0.3">
      <c r="B43" s="211" t="s">
        <v>10</v>
      </c>
      <c r="C43" s="212"/>
      <c r="D43" s="212"/>
      <c r="E43" s="213"/>
      <c r="F43" s="48"/>
      <c r="G43" s="37">
        <f>IF(F43=$G$101,$I$101,IF(F43=$G$102,$I$102,IF(F43=$G$103,$I$103,IF(F43=$G$104,$I$104,IF(F43=$G$105,$I$105,0)))))</f>
        <v>0</v>
      </c>
      <c r="H43" s="209" t="str">
        <f>IF(F43=0,"← Potrebno je odabrati ocjenu iz padajućeg izbornika","")</f>
        <v>← Potrebno je odabrati ocjenu iz padajućeg izbornika</v>
      </c>
      <c r="I43" s="210"/>
      <c r="Q43" s="141">
        <f>IF(F43="Nije primjenjivo",LEN(F43),LEN(F43)*G43)</f>
        <v>0</v>
      </c>
    </row>
    <row r="44" spans="1:18" ht="17.25" thickTop="1" thickBot="1" x14ac:dyDescent="0.3">
      <c r="B44" s="3" t="s">
        <v>132</v>
      </c>
      <c r="C44" s="7"/>
      <c r="D44" s="6"/>
      <c r="E44" s="6"/>
      <c r="F44" s="53" t="str">
        <f>IF(F45=0,"↓","")</f>
        <v>↓</v>
      </c>
      <c r="G44" s="36"/>
    </row>
    <row r="45" spans="1:18" ht="45" customHeight="1" thickBot="1" x14ac:dyDescent="0.3">
      <c r="B45" s="211" t="s">
        <v>11</v>
      </c>
      <c r="C45" s="212"/>
      <c r="D45" s="212"/>
      <c r="E45" s="213"/>
      <c r="F45" s="48"/>
      <c r="G45" s="37">
        <f>IF(F45=$G$101,$I$101,IF(F45=$G$102,$I$102,IF(F45=$G$103,$I$103,IF(F45=$G$104,$I$104,IF(F45=$G$105,$I$105,0)))))</f>
        <v>0</v>
      </c>
      <c r="H45" s="209" t="str">
        <f>IF(F45=0,"← Potrebno je odabrati ocjenu iz padajućeg izbornika","")</f>
        <v>← Potrebno je odabrati ocjenu iz padajućeg izbornika</v>
      </c>
      <c r="I45" s="210"/>
      <c r="Q45" s="141">
        <f>IF(F45="Nije primjenjivo",LEN(F45),LEN(F45)*G45)</f>
        <v>0</v>
      </c>
    </row>
    <row r="46" spans="1:18" ht="17.25" thickTop="1" thickBot="1" x14ac:dyDescent="0.3">
      <c r="B46" s="3" t="s">
        <v>133</v>
      </c>
      <c r="C46" s="7"/>
      <c r="D46" s="6"/>
      <c r="E46" s="6"/>
      <c r="F46" s="53" t="str">
        <f>IF(F47=0,"↓","")</f>
        <v>↓</v>
      </c>
      <c r="G46" s="36"/>
    </row>
    <row r="47" spans="1:18" ht="41.25" customHeight="1" thickBot="1" x14ac:dyDescent="0.3">
      <c r="B47" s="211" t="s">
        <v>12</v>
      </c>
      <c r="C47" s="212"/>
      <c r="D47" s="212"/>
      <c r="E47" s="213"/>
      <c r="F47" s="48"/>
      <c r="G47" s="37">
        <f>IF(F47=$G$101,$I$101,IF(F47=$G$102,$I$102,IF(F47=$G$103,$I$103,IF(F47=$G$104,$I$104,IF(F47=$G$105,$I$105,0)))))</f>
        <v>0</v>
      </c>
      <c r="H47" s="209" t="str">
        <f>IF(F47=0,"← Potrebno je odabrati ocjenu iz padajućeg izbornika","")</f>
        <v>← Potrebno je odabrati ocjenu iz padajućeg izbornika</v>
      </c>
      <c r="I47" s="210"/>
      <c r="Q47" s="141">
        <f>IF(F47="Nije primjenjivo",LEN(F47),LEN(F47)*G47)</f>
        <v>0</v>
      </c>
    </row>
    <row r="48" spans="1:18" ht="17.25" thickTop="1" thickBot="1" x14ac:dyDescent="0.3">
      <c r="B48" s="3" t="s">
        <v>134</v>
      </c>
      <c r="C48" s="7"/>
      <c r="D48" s="6"/>
      <c r="E48" s="6"/>
      <c r="F48" s="53" t="str">
        <f>IF(F49=0,"↓","")</f>
        <v>↓</v>
      </c>
      <c r="G48" s="36"/>
    </row>
    <row r="49" spans="1:18" ht="54.75" customHeight="1" thickBot="1" x14ac:dyDescent="0.3">
      <c r="B49" s="211" t="s">
        <v>13</v>
      </c>
      <c r="C49" s="212"/>
      <c r="D49" s="212"/>
      <c r="E49" s="213"/>
      <c r="F49" s="48"/>
      <c r="G49" s="37">
        <f>IF(F49=$G$101,$I$101,IF(F49=$G$102,$I$102,IF(F49=$G$103,$I$103,IF(F49=$G$104,$I$104,IF(F49=$G$105,$I$105,0)))))</f>
        <v>0</v>
      </c>
      <c r="H49" s="209" t="str">
        <f>IF(F49=0,"← Potrebno je odabrati ocjenu iz padajućeg izbornika","")</f>
        <v>← Potrebno je odabrati ocjenu iz padajućeg izbornika</v>
      </c>
      <c r="I49" s="210"/>
      <c r="Q49" s="141">
        <f>IF(F49="Nije primjenjivo",LEN(F49),LEN(F49)*G49)</f>
        <v>0</v>
      </c>
    </row>
    <row r="50" spans="1:18" ht="29.25" customHeight="1" thickTop="1" thickBot="1" x14ac:dyDescent="0.3">
      <c r="B50" s="218" t="s">
        <v>201</v>
      </c>
      <c r="C50" s="219"/>
      <c r="D50" s="219"/>
      <c r="E50" s="219"/>
      <c r="F50" s="53" t="str">
        <f>IF(F51=0,"↓","")</f>
        <v>↓</v>
      </c>
      <c r="G50" s="36"/>
    </row>
    <row r="51" spans="1:18" ht="54.75" customHeight="1" thickBot="1" x14ac:dyDescent="0.3">
      <c r="B51" s="211" t="s">
        <v>212</v>
      </c>
      <c r="C51" s="212"/>
      <c r="D51" s="212"/>
      <c r="E51" s="213"/>
      <c r="F51" s="48"/>
      <c r="G51" s="35">
        <f>IF(F51=$G$101,$I$101,IF(F51=$G$102,$I$102,IF(F51=$G$103,$I$103,IF(F51=$G$104,$I$104,0))))</f>
        <v>0</v>
      </c>
      <c r="H51" s="209" t="str">
        <f>IF(F51=0,"← Potrebno je odabrati ocjenu iz padajućeg izbornika","")</f>
        <v>← Potrebno je odabrati ocjenu iz padajućeg izbornika</v>
      </c>
      <c r="I51" s="210"/>
      <c r="Q51" s="141">
        <f>LEN(F51)*G51</f>
        <v>0</v>
      </c>
    </row>
    <row r="52" spans="1:18" ht="15.75" thickTop="1" x14ac:dyDescent="0.25">
      <c r="F52" s="34"/>
      <c r="G52" s="34"/>
    </row>
    <row r="53" spans="1:18" x14ac:dyDescent="0.25">
      <c r="F53" s="34"/>
      <c r="G53" s="34"/>
    </row>
    <row r="54" spans="1:18" ht="15.75" thickBot="1" x14ac:dyDescent="0.3">
      <c r="F54" s="34"/>
      <c r="G54" s="34"/>
    </row>
    <row r="55" spans="1:18" s="43" customFormat="1" ht="30" x14ac:dyDescent="0.25">
      <c r="A55" s="26" t="s">
        <v>48</v>
      </c>
      <c r="B55" s="251" t="s">
        <v>49</v>
      </c>
      <c r="C55" s="251"/>
      <c r="D55" s="251"/>
      <c r="E55" s="39" t="s">
        <v>32</v>
      </c>
      <c r="F55" s="39" t="s">
        <v>38</v>
      </c>
      <c r="G55" s="39" t="s">
        <v>29</v>
      </c>
      <c r="H55" s="40" t="s">
        <v>31</v>
      </c>
      <c r="I55" s="41" t="s">
        <v>30</v>
      </c>
      <c r="J55" s="43" t="s">
        <v>36</v>
      </c>
      <c r="K55" s="43" t="s">
        <v>51</v>
      </c>
      <c r="Q55" s="147"/>
    </row>
    <row r="56" spans="1:18" ht="15.75" thickBot="1" x14ac:dyDescent="0.3">
      <c r="A56" s="31" t="s">
        <v>50</v>
      </c>
      <c r="B56" s="32"/>
      <c r="C56" s="32"/>
      <c r="D56" s="32"/>
      <c r="E56" s="33">
        <f>(COUNTIF(G59:G67,Podaci!B14)+COUNTIF('List 4.'!G59:G67,Podaci!B13)+COUNTIF('List 4.'!G59:G67,Podaci!B12)+COUNTIF('List 4.'!G59:G67,Podaci!B11))*Podaci!B11</f>
        <v>0</v>
      </c>
      <c r="F56" s="38"/>
      <c r="G56" s="38">
        <f>SUM(G59:G67)</f>
        <v>0</v>
      </c>
      <c r="H56" s="45">
        <f>IF('List 1.'!K19=1,0.3,0)</f>
        <v>0</v>
      </c>
      <c r="I56" s="46">
        <f>IF(E56=0,0,ROUND(100/E56*G56*H56,2))</f>
        <v>0</v>
      </c>
      <c r="J56">
        <f>COUNTIF(G59:G67,Podaci!B14)</f>
        <v>0</v>
      </c>
      <c r="K56">
        <f>COUNTIF(G59:G67,0)+COUNTIF(K59:K67,1)</f>
        <v>5</v>
      </c>
      <c r="R56" s="128">
        <f>IF('List 1.'!K19=2,1,IF(K56=0,1,0))</f>
        <v>0</v>
      </c>
    </row>
    <row r="57" spans="1:18" ht="16.5" thickBot="1" x14ac:dyDescent="0.3">
      <c r="A57" s="47"/>
      <c r="B57" s="47"/>
      <c r="C57" s="47"/>
      <c r="D57" s="47"/>
      <c r="E57" s="47"/>
      <c r="F57" s="47"/>
      <c r="G57" s="47"/>
      <c r="H57" s="47"/>
      <c r="I57" s="47"/>
    </row>
    <row r="58" spans="1:18" ht="17.25" thickTop="1" thickBot="1" x14ac:dyDescent="0.3">
      <c r="B58" s="3" t="s">
        <v>135</v>
      </c>
      <c r="C58" s="7"/>
      <c r="D58" s="6"/>
      <c r="E58" s="6"/>
      <c r="F58" s="53" t="str">
        <f>IF('List 1.'!K19=2,"",IF(F59=0,"↓",IF(K59=1,"↓","")))</f>
        <v>↓</v>
      </c>
      <c r="G58" s="36"/>
    </row>
    <row r="59" spans="1:18" ht="75" customHeight="1" thickBot="1" x14ac:dyDescent="0.3">
      <c r="B59" s="211" t="s">
        <v>14</v>
      </c>
      <c r="C59" s="212"/>
      <c r="D59" s="212"/>
      <c r="E59" s="213"/>
      <c r="F59" s="48"/>
      <c r="G59" s="35">
        <f>IF('List 1.'!$K$19=2,0,IF(F59=$G$101,$I$101,IF(F59=$G$102,$I$102,IF(F59=$G$103,$I$103,IF(F59=$G$104,$I$104,0)))))</f>
        <v>0</v>
      </c>
      <c r="H59" s="209" t="str">
        <f>IF('List 1.'!K19=2,"",IF(F59=0,"← Potrebno je odabrati ocjenu iz padajućeg izbornika",IF(K59=1,"← Potrebno je odabrati ocjenu iz padajućeg izbornika","")))</f>
        <v>← Potrebno je odabrati ocjenu iz padajućeg izbornika</v>
      </c>
      <c r="I59" s="210"/>
      <c r="K59">
        <f>_xlfn.IFNA(G59,1)</f>
        <v>0</v>
      </c>
      <c r="Q59" s="141">
        <f>LEN(F59)*G59</f>
        <v>0</v>
      </c>
    </row>
    <row r="60" spans="1:18" ht="17.25" thickTop="1" thickBot="1" x14ac:dyDescent="0.3">
      <c r="B60" s="3" t="s">
        <v>136</v>
      </c>
      <c r="C60" s="7"/>
      <c r="D60" s="6"/>
      <c r="E60" s="6"/>
      <c r="F60" s="53" t="str">
        <f>IF('List 1.'!K19=2,"",IF(F61=0,"↓",IF(K61=1,"↓","")))</f>
        <v>↓</v>
      </c>
      <c r="G60" s="36"/>
    </row>
    <row r="61" spans="1:18" ht="78" customHeight="1" thickBot="1" x14ac:dyDescent="0.3">
      <c r="B61" s="211" t="s">
        <v>15</v>
      </c>
      <c r="C61" s="212"/>
      <c r="D61" s="212"/>
      <c r="E61" s="213"/>
      <c r="F61" s="48"/>
      <c r="G61" s="35">
        <f>IF('List 1.'!$K$19=2,0,IF(F61=$G$101,$I$101,IF(F61=$G$102,$I$102,IF(F61=$G$103,$I$103,IF(F61=$G$104,$I$104,0)))))</f>
        <v>0</v>
      </c>
      <c r="H61" s="209" t="str">
        <f>IF('List 1.'!K19=2,"",IF(F61=0,"← Potrebno je odabrati ocjenu iz padajućeg izbornika",IF(K61=1,"← Potrebno je odabrati ocjenu iz padajućeg izbornika","")))</f>
        <v>← Potrebno je odabrati ocjenu iz padajućeg izbornika</v>
      </c>
      <c r="I61" s="210"/>
      <c r="K61">
        <f>_xlfn.IFNA(G61,1)</f>
        <v>0</v>
      </c>
      <c r="Q61" s="141">
        <f>LEN(F61)*G61</f>
        <v>0</v>
      </c>
    </row>
    <row r="62" spans="1:18" ht="17.25" thickTop="1" thickBot="1" x14ac:dyDescent="0.3">
      <c r="B62" s="3" t="s">
        <v>137</v>
      </c>
      <c r="C62" s="7"/>
      <c r="D62" s="6"/>
      <c r="E62" s="6"/>
      <c r="F62" s="53" t="str">
        <f>IF('List 1.'!K19=2,"",IF(F63=0,"↓",IF(K63=1,"↓","")))</f>
        <v>↓</v>
      </c>
      <c r="G62" s="36"/>
    </row>
    <row r="63" spans="1:18" ht="93.75" customHeight="1" thickBot="1" x14ac:dyDescent="0.3">
      <c r="B63" s="211" t="s">
        <v>16</v>
      </c>
      <c r="C63" s="212"/>
      <c r="D63" s="212"/>
      <c r="E63" s="213"/>
      <c r="F63" s="48"/>
      <c r="G63" s="35">
        <f>IF('List 1.'!$K$19=2,0,IF(F63=$G$101,$I$101,IF(F63=$G$102,$I$102,IF(F63=$G$103,$I$103,IF(F63=$G$104,$I$104,0)))))</f>
        <v>0</v>
      </c>
      <c r="H63" s="209" t="str">
        <f>IF('List 1.'!K19=2,"",IF(F63=0,"← Potrebno je odabrati ocjenu iz padajućeg izbornika",IF(K63=1,"← Potrebno je odabrati ocjenu iz padajućeg izbornika","")))</f>
        <v>← Potrebno je odabrati ocjenu iz padajućeg izbornika</v>
      </c>
      <c r="I63" s="210"/>
      <c r="K63">
        <f>_xlfn.IFNA(G63,1)</f>
        <v>0</v>
      </c>
      <c r="Q63" s="141">
        <f>LEN(F63)*G63</f>
        <v>0</v>
      </c>
    </row>
    <row r="64" spans="1:18" ht="30.75" customHeight="1" thickTop="1" thickBot="1" x14ac:dyDescent="0.3">
      <c r="B64" s="218" t="s">
        <v>138</v>
      </c>
      <c r="C64" s="219"/>
      <c r="D64" s="219"/>
      <c r="E64" s="219"/>
      <c r="F64" s="53" t="str">
        <f>IF('List 1.'!K19=2,"",IF(F65=0,"↓",IF(K65=1,"↓","")))</f>
        <v>↓</v>
      </c>
      <c r="G64" s="36"/>
    </row>
    <row r="65" spans="1:18" ht="55.5" customHeight="1" thickBot="1" x14ac:dyDescent="0.3">
      <c r="B65" s="211" t="s">
        <v>17</v>
      </c>
      <c r="C65" s="212"/>
      <c r="D65" s="212"/>
      <c r="E65" s="213"/>
      <c r="F65" s="48"/>
      <c r="G65" s="35">
        <f>IF('List 1.'!$K$19=2,0,IF(F65=$G$101,$I$101,IF(F65=$G$102,$I$102,IF(F65=$G$103,$I$103,IF(F65=$G$104,$I$104,0)))))</f>
        <v>0</v>
      </c>
      <c r="H65" s="209" t="str">
        <f>IF('List 1.'!K19=2,"",IF(F65=0,"← Potrebno je odabrati ocjenu iz padajućeg izbornika",IF(K65=1,"← Potrebno je odabrati ocjenu iz padajućeg izbornika","")))</f>
        <v>← Potrebno je odabrati ocjenu iz padajućeg izbornika</v>
      </c>
      <c r="I65" s="210"/>
      <c r="K65">
        <f>_xlfn.IFNA(G65,1)</f>
        <v>0</v>
      </c>
      <c r="Q65" s="141">
        <f>LEN(F65)*G65</f>
        <v>0</v>
      </c>
    </row>
    <row r="66" spans="1:18" ht="30.75" customHeight="1" thickTop="1" thickBot="1" x14ac:dyDescent="0.3">
      <c r="B66" s="218" t="s">
        <v>240</v>
      </c>
      <c r="C66" s="219"/>
      <c r="D66" s="219"/>
      <c r="E66" s="219"/>
      <c r="F66" s="53" t="str">
        <f>IF('List 1.'!K19=2,"",IF(F67=0,"↓",IF(K67=1,"↓","")))</f>
        <v>↓</v>
      </c>
      <c r="G66" s="36"/>
    </row>
    <row r="67" spans="1:18" ht="83.25" customHeight="1" thickBot="1" x14ac:dyDescent="0.3">
      <c r="B67" s="211" t="s">
        <v>28</v>
      </c>
      <c r="C67" s="212"/>
      <c r="D67" s="212"/>
      <c r="E67" s="213"/>
      <c r="F67" s="48"/>
      <c r="G67" s="35">
        <f>IF('List 1.'!$K$19=2,0,IF(F67=$G$101,$I$101,IF(F67=$G$102,$I$102,IF(F67=$G$103,$I$103,IF(F67=$G$104,$I$104,0)))))</f>
        <v>0</v>
      </c>
      <c r="H67" s="209" t="str">
        <f>IF('List 1.'!K19=2,"",IF(F67=0,"← Potrebno je odabrati ocjenu iz padajućeg izbornika",IF(K67=1,"← Potrebno je odabrati ocjenu iz padajućeg izbornika","")))</f>
        <v>← Potrebno je odabrati ocjenu iz padajućeg izbornika</v>
      </c>
      <c r="I67" s="210"/>
      <c r="K67">
        <f>_xlfn.IFNA(G67,1)</f>
        <v>0</v>
      </c>
      <c r="Q67" s="141">
        <f>LEN(F67)*G67</f>
        <v>0</v>
      </c>
    </row>
    <row r="68" spans="1:18" ht="15.75" thickTop="1" x14ac:dyDescent="0.25">
      <c r="B68" s="1"/>
      <c r="G68" s="20"/>
    </row>
    <row r="69" spans="1:18" ht="15.75" thickBot="1" x14ac:dyDescent="0.3">
      <c r="B69" s="1"/>
      <c r="G69" s="20"/>
    </row>
    <row r="70" spans="1:18" ht="30" x14ac:dyDescent="0.25">
      <c r="D70" s="243"/>
      <c r="E70" s="244"/>
      <c r="F70" s="28" t="s">
        <v>32</v>
      </c>
      <c r="G70" s="28" t="s">
        <v>29</v>
      </c>
      <c r="H70" s="29"/>
      <c r="I70" s="30" t="s">
        <v>30</v>
      </c>
    </row>
    <row r="71" spans="1:18" ht="15.75" thickBot="1" x14ac:dyDescent="0.3">
      <c r="D71" s="245" t="s">
        <v>23</v>
      </c>
      <c r="E71" s="246"/>
      <c r="F71" s="33">
        <f>E56+E40+E26</f>
        <v>160</v>
      </c>
      <c r="G71" s="33">
        <f>IF('List 1.'!K19=1,G56+G40+G26,G40+G26)</f>
        <v>0</v>
      </c>
      <c r="H71" s="45"/>
      <c r="I71" s="46">
        <f>I56+I40+I26</f>
        <v>0</v>
      </c>
      <c r="Q71" s="141">
        <f>ROUND(F71*G71*I71,0)</f>
        <v>0</v>
      </c>
    </row>
    <row r="72" spans="1:18" ht="15.75" thickBot="1" x14ac:dyDescent="0.3">
      <c r="O72" s="21" t="s">
        <v>142</v>
      </c>
      <c r="P72" s="22">
        <v>40</v>
      </c>
    </row>
    <row r="73" spans="1:18" ht="15.75" customHeight="1" thickBot="1" x14ac:dyDescent="0.3">
      <c r="D73" s="249" t="s">
        <v>104</v>
      </c>
      <c r="E73" s="247"/>
      <c r="F73" s="250"/>
      <c r="G73" s="247" t="str">
        <f>IF('List 1.'!K19=0,"Osobni podaci nisu popunjeni",IF('List 1.'!K19=1,IF(K56+K40+K26&gt;0,"Obrazac nije ispravno popunjen",IF(I71=0,"",UPPER(Podaci!A34))),IF('List 1.'!K19=2,IF(K26+K40&gt;0,"Obrazac nije ispravno popunjen",IF(I71=0,"",UPPER(Podaci!A34))))))</f>
        <v>Osobni podaci nisu popunjeni</v>
      </c>
      <c r="H73" s="247"/>
      <c r="I73" s="248"/>
      <c r="M73">
        <f>IF(G73=O73,P73,IF(G73=O74,P74,IF(G73=O75,P75,IF(G73=O76,P76,0))))</f>
        <v>0</v>
      </c>
      <c r="O73" s="21" t="s">
        <v>139</v>
      </c>
      <c r="P73" s="22">
        <v>40</v>
      </c>
      <c r="Q73" s="141">
        <f>LEN(G73)</f>
        <v>28</v>
      </c>
    </row>
    <row r="74" spans="1:18" x14ac:dyDescent="0.25">
      <c r="O74" s="21" t="s">
        <v>145</v>
      </c>
      <c r="P74" s="22">
        <v>30</v>
      </c>
    </row>
    <row r="75" spans="1:18" x14ac:dyDescent="0.25">
      <c r="A75" s="2" t="s">
        <v>105</v>
      </c>
      <c r="O75" s="21" t="s">
        <v>144</v>
      </c>
      <c r="P75" s="22">
        <v>20</v>
      </c>
    </row>
    <row r="76" spans="1:18" x14ac:dyDescent="0.25">
      <c r="D76" s="241" t="s">
        <v>140</v>
      </c>
      <c r="E76" s="241"/>
      <c r="F76" s="241"/>
      <c r="G76" s="241"/>
      <c r="H76" s="241"/>
      <c r="I76" s="241"/>
      <c r="O76" s="21" t="s">
        <v>143</v>
      </c>
      <c r="P76" s="22">
        <v>10</v>
      </c>
    </row>
    <row r="77" spans="1:18" ht="15.75" thickBot="1" x14ac:dyDescent="0.3">
      <c r="D77" s="242"/>
      <c r="E77" s="242"/>
      <c r="F77" s="242"/>
      <c r="G77" s="242"/>
      <c r="H77" s="242"/>
      <c r="I77" s="242"/>
    </row>
    <row r="78" spans="1:18" ht="33" customHeight="1" thickBot="1" x14ac:dyDescent="0.3">
      <c r="D78" s="214" t="s">
        <v>121</v>
      </c>
      <c r="E78" s="215"/>
      <c r="F78" s="216"/>
      <c r="G78" s="216"/>
      <c r="H78" s="216"/>
      <c r="I78" s="217"/>
      <c r="J78" t="str">
        <f>G73</f>
        <v>Osobni podaci nisu popunjeni</v>
      </c>
      <c r="M78">
        <f>IF(F78=O72,P72,IF(F78=O73,P73,IF(F78=O74,P74,IF(F78=O75,P75,IF(F78=O76,P76,0)))))</f>
        <v>0</v>
      </c>
      <c r="Q78" s="141">
        <f>LEN(F78)</f>
        <v>0</v>
      </c>
      <c r="R78" s="128">
        <f>IF(M78=M73,1,0)</f>
        <v>1</v>
      </c>
    </row>
    <row r="79" spans="1:18" ht="15" customHeight="1" x14ac:dyDescent="0.25">
      <c r="D79" s="261" t="str">
        <f>IF(M73=M78,"",N79&amp;" "&amp;M79)</f>
        <v/>
      </c>
      <c r="E79" s="261"/>
      <c r="F79" s="261"/>
      <c r="G79" s="261"/>
      <c r="H79" s="261"/>
      <c r="I79" s="261"/>
      <c r="J79" t="str">
        <f>IF(J78="NAROČITO USPJEŠAN","IZVRSTAN","")</f>
        <v/>
      </c>
      <c r="M79" s="52" t="s">
        <v>86</v>
      </c>
      <c r="N79" t="s">
        <v>224</v>
      </c>
    </row>
    <row r="80" spans="1:18" ht="15" customHeight="1" x14ac:dyDescent="0.25">
      <c r="D80" s="136"/>
      <c r="E80" s="136"/>
      <c r="F80" s="136"/>
      <c r="G80" s="136"/>
      <c r="H80" s="136"/>
      <c r="I80" s="136"/>
      <c r="M80" s="52"/>
    </row>
    <row r="81" spans="1:18" x14ac:dyDescent="0.25">
      <c r="B81" s="266" t="str">
        <f>IF(F78="NE ZADOVOLJAVA",J81,"")</f>
        <v/>
      </c>
      <c r="C81" s="266"/>
      <c r="D81" s="266"/>
      <c r="E81" s="266"/>
      <c r="F81" s="266"/>
      <c r="G81" s="266"/>
      <c r="H81" s="266"/>
      <c r="I81" s="137"/>
      <c r="J81" t="s">
        <v>233</v>
      </c>
      <c r="Q81" s="141">
        <f>LEN(B81)+LEN(I81)*I81</f>
        <v>0</v>
      </c>
    </row>
    <row r="82" spans="1:18" x14ac:dyDescent="0.25">
      <c r="A82" s="190" t="str">
        <f>IF(F78="NE ZADOVOLJAVA",IF(J82=0,K82,""),IF(J82=1,L82,""))</f>
        <v/>
      </c>
      <c r="B82" s="190"/>
      <c r="C82" s="190"/>
      <c r="D82" s="190"/>
      <c r="E82" s="190"/>
      <c r="F82" s="190"/>
      <c r="G82" s="190"/>
      <c r="H82" s="190"/>
      <c r="I82" s="190"/>
      <c r="J82">
        <f>IF(I81&gt;0,1,0)</f>
        <v>0</v>
      </c>
      <c r="K82" t="s">
        <v>217</v>
      </c>
      <c r="L82" t="str">
        <f>"Za prijedlog ocjene "&amp;"''"&amp;PROPER(F78)&amp;"''"&amp;" potrebno je izbrisati upisani datum ↑"</f>
        <v>Za prijedlog ocjene '''' potrebno je izbrisati upisani datum ↑</v>
      </c>
      <c r="M82">
        <f>IF(F78="NE ZADOVOLJAVA",IF(J82=1,1,0),1)</f>
        <v>1</v>
      </c>
      <c r="P82" s="21">
        <f>IF(F78="NE ZADOVOLJAVA",IF(J82=1,1,0),IF(J82=0,1,0))</f>
        <v>1</v>
      </c>
    </row>
    <row r="83" spans="1:18" x14ac:dyDescent="0.25">
      <c r="A83" s="2" t="str">
        <f>IF(F78="NE ZADOVOLJAVA",J84,IF(F78="IZVRSTAN",J83,J85))</f>
        <v>Obrazloženje ocjene</v>
      </c>
      <c r="J83" s="2" t="s">
        <v>141</v>
      </c>
    </row>
    <row r="84" spans="1:18" x14ac:dyDescent="0.25">
      <c r="A84" s="174"/>
      <c r="B84" s="175"/>
      <c r="C84" s="175"/>
      <c r="D84" s="175"/>
      <c r="E84" s="175"/>
      <c r="F84" s="175"/>
      <c r="G84" s="175"/>
      <c r="H84" s="175"/>
      <c r="I84" s="176"/>
      <c r="J84" s="2" t="s">
        <v>222</v>
      </c>
      <c r="Q84" s="141">
        <f>LEN(A84)</f>
        <v>0</v>
      </c>
    </row>
    <row r="85" spans="1:18" x14ac:dyDescent="0.25">
      <c r="A85" s="177"/>
      <c r="B85" s="178"/>
      <c r="C85" s="178"/>
      <c r="D85" s="178"/>
      <c r="E85" s="178"/>
      <c r="F85" s="178"/>
      <c r="G85" s="178"/>
      <c r="H85" s="178"/>
      <c r="I85" s="179"/>
      <c r="J85" s="2" t="s">
        <v>225</v>
      </c>
    </row>
    <row r="86" spans="1:18" x14ac:dyDescent="0.25">
      <c r="A86" s="177"/>
      <c r="B86" s="178"/>
      <c r="C86" s="178"/>
      <c r="D86" s="178"/>
      <c r="E86" s="178"/>
      <c r="F86" s="178"/>
      <c r="G86" s="178"/>
      <c r="H86" s="178"/>
      <c r="I86" s="179"/>
    </row>
    <row r="87" spans="1:18" x14ac:dyDescent="0.25">
      <c r="A87" s="177"/>
      <c r="B87" s="178"/>
      <c r="C87" s="178"/>
      <c r="D87" s="178"/>
      <c r="E87" s="178"/>
      <c r="F87" s="178"/>
      <c r="G87" s="178"/>
      <c r="H87" s="178"/>
      <c r="I87" s="179"/>
    </row>
    <row r="88" spans="1:18" x14ac:dyDescent="0.25">
      <c r="A88" s="177"/>
      <c r="B88" s="178"/>
      <c r="C88" s="178"/>
      <c r="D88" s="178"/>
      <c r="E88" s="178"/>
      <c r="F88" s="178"/>
      <c r="G88" s="178"/>
      <c r="H88" s="178"/>
      <c r="I88" s="179"/>
    </row>
    <row r="89" spans="1:18" x14ac:dyDescent="0.25">
      <c r="A89" s="177"/>
      <c r="B89" s="178"/>
      <c r="C89" s="178"/>
      <c r="D89" s="178"/>
      <c r="E89" s="178"/>
      <c r="F89" s="178"/>
      <c r="G89" s="178"/>
      <c r="H89" s="178"/>
      <c r="I89" s="179"/>
      <c r="O89">
        <f>IF(O90=0,2,(IF(A84&gt;0,1,0)))</f>
        <v>2</v>
      </c>
    </row>
    <row r="90" spans="1:18" x14ac:dyDescent="0.25">
      <c r="A90" s="177"/>
      <c r="B90" s="178"/>
      <c r="C90" s="178"/>
      <c r="D90" s="178"/>
      <c r="E90" s="178"/>
      <c r="F90" s="178"/>
      <c r="G90" s="178"/>
      <c r="H90" s="178"/>
      <c r="I90" s="179"/>
      <c r="O90">
        <f>IF(F78="IZVRSTAN",1,IF(F78="NE ZADOVOLJAVA",1,0))</f>
        <v>0</v>
      </c>
    </row>
    <row r="91" spans="1:18" x14ac:dyDescent="0.25">
      <c r="A91" s="180"/>
      <c r="B91" s="181"/>
      <c r="C91" s="181"/>
      <c r="D91" s="181"/>
      <c r="E91" s="181"/>
      <c r="F91" s="181"/>
      <c r="G91" s="181"/>
      <c r="H91" s="181"/>
      <c r="I91" s="182"/>
      <c r="O91">
        <f>SUM(O89:O90)</f>
        <v>2</v>
      </c>
      <c r="R91" s="128">
        <f>IF(O91=2,1,0)</f>
        <v>1</v>
      </c>
    </row>
    <row r="92" spans="1:18" x14ac:dyDescent="0.25">
      <c r="A92" s="195" t="str">
        <f>IF(O91=2,"",J92&amp;" "&amp;K92&amp;" "&amp;J92)</f>
        <v/>
      </c>
      <c r="B92" s="195"/>
      <c r="C92" s="195"/>
      <c r="D92" s="195"/>
      <c r="E92" s="195"/>
      <c r="F92" s="195"/>
      <c r="G92" s="195"/>
      <c r="H92" s="195"/>
      <c r="I92" s="195"/>
      <c r="J92" s="52" t="s">
        <v>86</v>
      </c>
      <c r="K92" t="s">
        <v>223</v>
      </c>
    </row>
    <row r="94" spans="1:18" x14ac:dyDescent="0.25">
      <c r="B94" s="62" t="s">
        <v>63</v>
      </c>
      <c r="C94" s="85"/>
      <c r="G94" s="151" t="s">
        <v>65</v>
      </c>
      <c r="H94" s="151"/>
      <c r="I94" s="151"/>
      <c r="J94" s="96">
        <f>IF(C94&gt;0,1,0)</f>
        <v>0</v>
      </c>
      <c r="K94" s="97">
        <f>'List 3.'!C22</f>
        <v>0</v>
      </c>
      <c r="M94">
        <f>K94-C94</f>
        <v>0</v>
      </c>
      <c r="N94">
        <f>IFERROR(M94,"greška")</f>
        <v>0</v>
      </c>
      <c r="O94">
        <f>IF(C94&lt;K94,0,1)</f>
        <v>1</v>
      </c>
      <c r="P94" s="128">
        <f>IF(N94="greška",0,IF(J94=1,IF(O94=1,1,0),0))</f>
        <v>0</v>
      </c>
      <c r="Q94" s="141">
        <f>LEN(C94)*C94</f>
        <v>0</v>
      </c>
    </row>
    <row r="95" spans="1:18" x14ac:dyDescent="0.25">
      <c r="C95" s="70" t="str">
        <f>IF(J94=0,J95,IF(N94="greška",J96,IF(O94=0,J97,"")))</f>
        <v>↑ Potrebno je upisati datum</v>
      </c>
      <c r="H95"/>
      <c r="J95" t="s">
        <v>215</v>
      </c>
    </row>
    <row r="96" spans="1:18" x14ac:dyDescent="0.25">
      <c r="G96" s="187"/>
      <c r="H96" s="187"/>
      <c r="I96" s="187"/>
      <c r="J96" t="s">
        <v>204</v>
      </c>
    </row>
    <row r="97" spans="1:14" x14ac:dyDescent="0.25">
      <c r="G97" s="189" t="str">
        <f>'List 2.'!K21</f>
        <v/>
      </c>
      <c r="H97" s="189"/>
      <c r="I97" s="189"/>
      <c r="J97" t="s">
        <v>206</v>
      </c>
    </row>
    <row r="98" spans="1:14" x14ac:dyDescent="0.25">
      <c r="A98" s="18"/>
      <c r="B98" s="18"/>
      <c r="C98" s="18"/>
      <c r="D98" s="18"/>
      <c r="E98" s="18"/>
      <c r="F98" s="18"/>
      <c r="G98" s="18"/>
      <c r="H98" s="44"/>
      <c r="I98" s="18"/>
    </row>
    <row r="99" spans="1:14" ht="5.25" customHeight="1" x14ac:dyDescent="0.25"/>
    <row r="100" spans="1:14" ht="25.5" x14ac:dyDescent="0.25">
      <c r="B100" s="106" t="s">
        <v>45</v>
      </c>
      <c r="C100" s="107"/>
      <c r="D100" s="107"/>
      <c r="E100" s="108"/>
      <c r="F100" s="109"/>
      <c r="G100" s="258" t="s">
        <v>44</v>
      </c>
      <c r="H100" s="259"/>
      <c r="I100" s="112" t="s">
        <v>29</v>
      </c>
    </row>
    <row r="101" spans="1:14" ht="15" customHeight="1" x14ac:dyDescent="0.25">
      <c r="B101" s="111" t="s">
        <v>52</v>
      </c>
      <c r="C101" s="227" t="s">
        <v>103</v>
      </c>
      <c r="D101" s="228"/>
      <c r="E101" s="229"/>
      <c r="F101" s="109"/>
      <c r="G101" s="264" t="s">
        <v>1</v>
      </c>
      <c r="H101" s="265"/>
      <c r="I101" s="113">
        <v>40</v>
      </c>
    </row>
    <row r="102" spans="1:14" ht="15" customHeight="1" x14ac:dyDescent="0.25">
      <c r="B102" s="111" t="s">
        <v>98</v>
      </c>
      <c r="C102" s="227" t="s">
        <v>102</v>
      </c>
      <c r="D102" s="228"/>
      <c r="E102" s="229"/>
      <c r="F102" s="109"/>
      <c r="G102" s="262" t="s">
        <v>2</v>
      </c>
      <c r="H102" s="263"/>
      <c r="I102" s="113">
        <v>30</v>
      </c>
    </row>
    <row r="103" spans="1:14" x14ac:dyDescent="0.25">
      <c r="B103" s="111" t="s">
        <v>97</v>
      </c>
      <c r="C103" s="230" t="s">
        <v>101</v>
      </c>
      <c r="D103" s="231"/>
      <c r="E103" s="232"/>
      <c r="F103" s="109"/>
      <c r="G103" s="262" t="s">
        <v>3</v>
      </c>
      <c r="H103" s="263"/>
      <c r="I103" s="113">
        <v>20</v>
      </c>
    </row>
    <row r="104" spans="1:14" ht="15" customHeight="1" x14ac:dyDescent="0.25">
      <c r="B104" s="111" t="s">
        <v>46</v>
      </c>
      <c r="C104" s="233" t="s">
        <v>100</v>
      </c>
      <c r="D104" s="234"/>
      <c r="E104" s="235"/>
      <c r="F104" s="109"/>
      <c r="G104" s="264" t="s">
        <v>4</v>
      </c>
      <c r="H104" s="265"/>
      <c r="I104" s="113">
        <v>10</v>
      </c>
    </row>
    <row r="105" spans="1:14" ht="15" customHeight="1" x14ac:dyDescent="0.25">
      <c r="B105" s="111" t="s">
        <v>96</v>
      </c>
      <c r="C105" s="230" t="s">
        <v>99</v>
      </c>
      <c r="D105" s="231"/>
      <c r="E105" s="232"/>
      <c r="F105" s="109"/>
      <c r="G105" s="264" t="s">
        <v>42</v>
      </c>
      <c r="H105" s="265"/>
      <c r="I105" s="113" t="s">
        <v>43</v>
      </c>
    </row>
    <row r="106" spans="1:14" ht="33" customHeight="1" x14ac:dyDescent="0.25">
      <c r="B106" s="238" t="s">
        <v>183</v>
      </c>
      <c r="C106" s="239"/>
      <c r="D106" s="239"/>
      <c r="E106" s="240"/>
      <c r="F106" s="109"/>
    </row>
    <row r="107" spans="1:14" ht="3.75" customHeight="1" x14ac:dyDescent="0.25">
      <c r="B107" s="109"/>
      <c r="C107" s="109"/>
      <c r="D107" s="109"/>
      <c r="E107" s="109"/>
      <c r="F107" s="109"/>
      <c r="G107" s="109"/>
      <c r="H107" s="110"/>
    </row>
    <row r="108" spans="1:14" x14ac:dyDescent="0.25">
      <c r="B108" s="220" t="s">
        <v>184</v>
      </c>
      <c r="C108" s="221"/>
      <c r="D108" s="221"/>
      <c r="E108" s="221"/>
      <c r="F108" s="221"/>
      <c r="G108" s="222"/>
      <c r="H108" s="110"/>
    </row>
    <row r="109" spans="1:14" ht="15" customHeight="1" x14ac:dyDescent="0.25">
      <c r="B109" s="223" t="s">
        <v>53</v>
      </c>
      <c r="C109" s="224"/>
      <c r="D109" s="236" t="s">
        <v>19</v>
      </c>
      <c r="E109" s="237"/>
      <c r="F109" s="236" t="s">
        <v>18</v>
      </c>
      <c r="G109" s="237"/>
      <c r="H109" s="109"/>
    </row>
    <row r="110" spans="1:14" x14ac:dyDescent="0.25">
      <c r="B110" s="225"/>
      <c r="C110" s="226"/>
      <c r="D110" s="114" t="s">
        <v>26</v>
      </c>
      <c r="E110" s="114" t="s">
        <v>27</v>
      </c>
      <c r="F110" s="114" t="s">
        <v>26</v>
      </c>
      <c r="G110" s="114" t="s">
        <v>27</v>
      </c>
      <c r="H110" s="109"/>
    </row>
    <row r="111" spans="1:14" x14ac:dyDescent="0.25">
      <c r="B111" s="115" t="s">
        <v>1</v>
      </c>
      <c r="C111" s="115"/>
      <c r="D111" s="116">
        <v>88.25</v>
      </c>
      <c r="E111" s="116">
        <v>100</v>
      </c>
      <c r="F111" s="116">
        <v>88.75</v>
      </c>
      <c r="G111" s="116">
        <v>100</v>
      </c>
      <c r="H111" s="109"/>
      <c r="N111" t="s">
        <v>154</v>
      </c>
    </row>
    <row r="112" spans="1:14" x14ac:dyDescent="0.25">
      <c r="B112" s="115" t="s">
        <v>2</v>
      </c>
      <c r="C112" s="115"/>
      <c r="D112" s="116">
        <v>63.25</v>
      </c>
      <c r="E112" s="116">
        <v>88.24</v>
      </c>
      <c r="F112" s="116">
        <v>63.75</v>
      </c>
      <c r="G112" s="116">
        <v>88.74</v>
      </c>
      <c r="H112" s="109"/>
      <c r="K112" t="s">
        <v>155</v>
      </c>
      <c r="M112">
        <v>10</v>
      </c>
      <c r="N112" s="21">
        <f>P94+R91+R78+R56+R40+R26+R15+R13+O1+P82</f>
        <v>5</v>
      </c>
    </row>
    <row r="113" spans="1:17" x14ac:dyDescent="0.25">
      <c r="B113" s="115" t="s">
        <v>3</v>
      </c>
      <c r="C113" s="115"/>
      <c r="D113" s="116">
        <v>38.25</v>
      </c>
      <c r="E113" s="116">
        <v>63.24</v>
      </c>
      <c r="F113" s="116">
        <v>38.75</v>
      </c>
      <c r="G113" s="116">
        <v>63.74</v>
      </c>
      <c r="H113" s="109"/>
    </row>
    <row r="114" spans="1:17" x14ac:dyDescent="0.25">
      <c r="B114" s="115" t="s">
        <v>4</v>
      </c>
      <c r="C114" s="115"/>
      <c r="D114" s="116">
        <v>25</v>
      </c>
      <c r="E114" s="116">
        <v>38.24</v>
      </c>
      <c r="F114" s="116">
        <v>25</v>
      </c>
      <c r="G114" s="116">
        <v>38.74</v>
      </c>
      <c r="H114" s="109"/>
    </row>
    <row r="115" spans="1:17" x14ac:dyDescent="0.25">
      <c r="A115" s="151" t="str">
        <f>IF('List 1.'!M46='List 1.'!N46,IF('List 2.'!M31='List 2.'!N31,IF('List 3.'!N25='List 3.'!O25,IF('List 4.'!M112='List 4.'!N112,N115&amp;TEXT(Q115,"0.000"),'List 4.'!K115),'List 3.'!L29),'List 2.'!K32),'List 1.'!K47)</f>
        <v>List 1. nije ispravno popunjen</v>
      </c>
      <c r="B115" s="151"/>
      <c r="C115" s="151"/>
      <c r="D115" s="151"/>
      <c r="E115" s="151"/>
      <c r="F115" s="151"/>
      <c r="G115" s="151"/>
      <c r="H115" s="151"/>
      <c r="I115" s="151"/>
      <c r="K115" t="s">
        <v>177</v>
      </c>
      <c r="N115" t="s">
        <v>231</v>
      </c>
      <c r="Q115" s="141">
        <f>Q94+Q84+Q81+Q78+Q73+Q71+Q67+Q65+Q63+Q61+Q59+Q51+Q49+Q47+Q45+Q43+Q35+Q33+Q31+Q29+Q20+Q19+Q18+Q12+Q11+Q10+Q9+Q8</f>
        <v>28</v>
      </c>
    </row>
  </sheetData>
  <sheetProtection algorithmName="SHA-512" hashValue="JVeGuWk49PgI0KeIALXt7+vyce8W6VIjgmWH+RfuZKfwi9KkmcICE2BngCElwKVBkhMYkI3aEfmGpKfqXgT7pw==" saltValue="p7FhyATO8NotdNh9ltXmWw==" spinCount="100000" sheet="1" objects="1" scenarios="1" selectLockedCells="1"/>
  <mergeCells count="90">
    <mergeCell ref="D79:I79"/>
    <mergeCell ref="G102:H102"/>
    <mergeCell ref="G101:H101"/>
    <mergeCell ref="F109:G109"/>
    <mergeCell ref="G105:H105"/>
    <mergeCell ref="G104:H104"/>
    <mergeCell ref="G103:H103"/>
    <mergeCell ref="B81:H81"/>
    <mergeCell ref="A82:I82"/>
    <mergeCell ref="A14:I14"/>
    <mergeCell ref="G97:I97"/>
    <mergeCell ref="G100:H100"/>
    <mergeCell ref="B17:E17"/>
    <mergeCell ref="B20:E20"/>
    <mergeCell ref="G17:I17"/>
    <mergeCell ref="B18:E18"/>
    <mergeCell ref="G18:I18"/>
    <mergeCell ref="B19:E19"/>
    <mergeCell ref="G19:I19"/>
    <mergeCell ref="G20:I20"/>
    <mergeCell ref="H29:I29"/>
    <mergeCell ref="H31:I31"/>
    <mergeCell ref="H33:I33"/>
    <mergeCell ref="H47:I47"/>
    <mergeCell ref="G16:I16"/>
    <mergeCell ref="D1:I2"/>
    <mergeCell ref="G13:I13"/>
    <mergeCell ref="G12:I12"/>
    <mergeCell ref="B8:E8"/>
    <mergeCell ref="B9:E9"/>
    <mergeCell ref="B12:E12"/>
    <mergeCell ref="B7:E7"/>
    <mergeCell ref="B11:E11"/>
    <mergeCell ref="G7:I7"/>
    <mergeCell ref="G8:I8"/>
    <mergeCell ref="G9:I9"/>
    <mergeCell ref="G11:I11"/>
    <mergeCell ref="B10:E10"/>
    <mergeCell ref="G10:I10"/>
    <mergeCell ref="H35:I35"/>
    <mergeCell ref="H43:I43"/>
    <mergeCell ref="H45:I45"/>
    <mergeCell ref="H49:I49"/>
    <mergeCell ref="D76:I77"/>
    <mergeCell ref="D70:E70"/>
    <mergeCell ref="B45:E45"/>
    <mergeCell ref="B47:E47"/>
    <mergeCell ref="B49:E49"/>
    <mergeCell ref="D71:E71"/>
    <mergeCell ref="G73:I73"/>
    <mergeCell ref="D73:F73"/>
    <mergeCell ref="H51:I51"/>
    <mergeCell ref="H59:I59"/>
    <mergeCell ref="B55:D55"/>
    <mergeCell ref="B51:E51"/>
    <mergeCell ref="A115:I115"/>
    <mergeCell ref="A84:I91"/>
    <mergeCell ref="G96:I96"/>
    <mergeCell ref="G94:I94"/>
    <mergeCell ref="B108:G108"/>
    <mergeCell ref="B109:C110"/>
    <mergeCell ref="C101:E101"/>
    <mergeCell ref="C102:E102"/>
    <mergeCell ref="C103:E103"/>
    <mergeCell ref="C104:E104"/>
    <mergeCell ref="C105:E105"/>
    <mergeCell ref="D109:E109"/>
    <mergeCell ref="B106:E106"/>
    <mergeCell ref="A92:I92"/>
    <mergeCell ref="B29:E29"/>
    <mergeCell ref="B31:E31"/>
    <mergeCell ref="B33:E33"/>
    <mergeCell ref="B35:E35"/>
    <mergeCell ref="B43:E43"/>
    <mergeCell ref="B30:E30"/>
    <mergeCell ref="B42:E42"/>
    <mergeCell ref="B50:E50"/>
    <mergeCell ref="B59:E59"/>
    <mergeCell ref="B64:E64"/>
    <mergeCell ref="B66:E66"/>
    <mergeCell ref="B61:E61"/>
    <mergeCell ref="B63:E63"/>
    <mergeCell ref="B65:E65"/>
    <mergeCell ref="H61:I61"/>
    <mergeCell ref="H63:I63"/>
    <mergeCell ref="B67:E67"/>
    <mergeCell ref="D78:E78"/>
    <mergeCell ref="F78:I78"/>
    <mergeCell ref="H65:I65"/>
    <mergeCell ref="H67:I67"/>
  </mergeCells>
  <conditionalFormatting sqref="A2:A4">
    <cfRule type="containsText" dxfId="316" priority="42" operator="containsText" text="Osobni podaci iz Obrazca 1.A nisu popunjeni">
      <formula>NOT(ISERROR(SEARCH("Osobni podaci iz Obrazca 1.A nisu popunjeni",A2)))</formula>
    </cfRule>
  </conditionalFormatting>
  <conditionalFormatting sqref="A57">
    <cfRule type="containsText" dxfId="315" priority="178" operator="containsText" text="kriterij 3">
      <formula>NOT(ISERROR(SEARCH("kriterij 3",A57)))</formula>
    </cfRule>
  </conditionalFormatting>
  <conditionalFormatting sqref="A75">
    <cfRule type="containsText" dxfId="314" priority="31" operator="containsText" text="Osobni podaci iz Obrazca 1.A nisu popunjeni">
      <formula>NOT(ISERROR(SEARCH("Osobni podaci iz Obrazca 1.A nisu popunjeni",A75)))</formula>
    </cfRule>
  </conditionalFormatting>
  <conditionalFormatting sqref="A84:I91">
    <cfRule type="cellIs" dxfId="313" priority="19" operator="lessThan">
      <formula>$O$90</formula>
    </cfRule>
  </conditionalFormatting>
  <conditionalFormatting sqref="A115:I115">
    <cfRule type="containsText" dxfId="312" priority="3" operator="containsText" text="ispravno">
      <formula>NOT(ISERROR(SEARCH("ispravno",A115)))</formula>
    </cfRule>
    <cfRule type="containsText" dxfId="311" priority="1" operator="containsText" text="kontrolni broj">
      <formula>NOT(ISERROR(SEARCH("kontrolni broj",A115)))</formula>
    </cfRule>
  </conditionalFormatting>
  <conditionalFormatting sqref="C94">
    <cfRule type="expression" dxfId="310" priority="35">
      <formula>$P$94&lt;1</formula>
    </cfRule>
  </conditionalFormatting>
  <conditionalFormatting sqref="D3">
    <cfRule type="containsText" dxfId="309" priority="133" operator="containsText" text="potrebno odabrati">
      <formula>NOT(ISERROR(SEARCH("potrebno odabrati",D3)))</formula>
    </cfRule>
  </conditionalFormatting>
  <conditionalFormatting sqref="D1:I2">
    <cfRule type="containsText" dxfId="308" priority="44" operator="containsText" text="osobni podaci">
      <formula>NOT(ISERROR(SEARCH("osobni podaci",D1)))</formula>
    </cfRule>
  </conditionalFormatting>
  <conditionalFormatting sqref="F3">
    <cfRule type="containsText" dxfId="307" priority="211" operator="containsText" text="obrazac">
      <formula>NOT(ISERROR(SEARCH("obrazac",F3)))</formula>
    </cfRule>
  </conditionalFormatting>
  <conditionalFormatting sqref="F8:F12 F18:F20">
    <cfRule type="cellIs" dxfId="306" priority="45" operator="lessThan">
      <formula>J8</formula>
    </cfRule>
  </conditionalFormatting>
  <conditionalFormatting sqref="F13">
    <cfRule type="cellIs" dxfId="305" priority="43" operator="lessThan">
      <formula>K13</formula>
    </cfRule>
  </conditionalFormatting>
  <conditionalFormatting sqref="F16">
    <cfRule type="cellIs" dxfId="304" priority="38" operator="lessThan">
      <formula>K16</formula>
    </cfRule>
  </conditionalFormatting>
  <conditionalFormatting sqref="F25:F27">
    <cfRule type="containsText" dxfId="303" priority="64" operator="containsText" text="Nije primjenjivo">
      <formula>NOT(ISERROR(SEARCH("Nije primjenjivo",F25)))</formula>
    </cfRule>
  </conditionalFormatting>
  <conditionalFormatting sqref="F25:F36">
    <cfRule type="containsText" dxfId="302" priority="57" operator="containsText" text="naročito uspješan">
      <formula>NOT(ISERROR(SEARCH("naročito uspješan",F25)))</formula>
    </cfRule>
    <cfRule type="containsText" dxfId="301" priority="62" operator="containsText" text="zadovoljava">
      <formula>NOT(ISERROR(SEARCH("zadovoljava",F25)))</formula>
    </cfRule>
    <cfRule type="containsText" dxfId="300" priority="61" operator="containsText" text="ne zadovoljava">
      <formula>NOT(ISERROR(SEARCH("ne zadovoljava",F25)))</formula>
    </cfRule>
    <cfRule type="containsText" dxfId="299" priority="59" operator="containsText" text="uspješan">
      <formula>NOT(ISERROR(SEARCH("uspješan",F25)))</formula>
    </cfRule>
  </conditionalFormatting>
  <conditionalFormatting sqref="F28">
    <cfRule type="containsText" dxfId="298" priority="77" operator="containsText" text="Nije primjenjivo">
      <formula>NOT(ISERROR(SEARCH("Nije primjenjivo",F28)))</formula>
    </cfRule>
  </conditionalFormatting>
  <conditionalFormatting sqref="F30:F35">
    <cfRule type="containsText" dxfId="297" priority="82" operator="containsText" text="Nije primjenjivo">
      <formula>NOT(ISERROR(SEARCH("Nije primjenjivo",F30)))</formula>
    </cfRule>
  </conditionalFormatting>
  <conditionalFormatting sqref="F38:F40">
    <cfRule type="containsText" dxfId="296" priority="390" operator="containsText" text="naročito uspješan">
      <formula>NOT(ISERROR(SEARCH("naročito uspješan",F38)))</formula>
    </cfRule>
    <cfRule type="containsText" dxfId="295" priority="394" operator="containsText" text="ne zadovoljava">
      <formula>NOT(ISERROR(SEARCH("ne zadovoljava",F38)))</formula>
    </cfRule>
    <cfRule type="containsText" dxfId="294" priority="395" operator="containsText" text="zadovoljava">
      <formula>NOT(ISERROR(SEARCH("zadovoljava",F38)))</formula>
    </cfRule>
    <cfRule type="containsText" dxfId="293" priority="392" operator="containsText" text="uspješan">
      <formula>NOT(ISERROR(SEARCH("uspješan",F38)))</formula>
    </cfRule>
  </conditionalFormatting>
  <conditionalFormatting sqref="F39:F40">
    <cfRule type="containsText" dxfId="292" priority="397" operator="containsText" text="Nije primjenjivo">
      <formula>NOT(ISERROR(SEARCH("Nije primjenjivo",F39)))</formula>
    </cfRule>
  </conditionalFormatting>
  <conditionalFormatting sqref="F40:F41 F54:F56 F74:F75 D79:D80 F83 F93 F98:F99 I100:I104 F105:F107 G110:G114 F116:F1048576">
    <cfRule type="containsText" dxfId="291" priority="603" operator="containsText" text="uspješan">
      <formula>NOT(ISERROR(SEARCH("uspješan",D40)))</formula>
    </cfRule>
    <cfRule type="containsText" dxfId="290" priority="606" operator="containsText" text="zadovoljava">
      <formula>NOT(ISERROR(SEARCH("zadovoljava",D40)))</formula>
    </cfRule>
  </conditionalFormatting>
  <conditionalFormatting sqref="F40:F41 I100:I104 F54:F56 F74:F75 D79:D80 F83 F93 F98:F99 F105:F107 G110:G114 F116:F1048576">
    <cfRule type="containsText" dxfId="289" priority="601" operator="containsText" text="naročito uspješan">
      <formula>NOT(ISERROR(SEARCH("naročito uspješan",D40)))</formula>
    </cfRule>
  </conditionalFormatting>
  <conditionalFormatting sqref="F42">
    <cfRule type="containsText" dxfId="288" priority="97" operator="containsText" text="Nije primjenjivo">
      <formula>NOT(ISERROR(SEARCH("Nije primjenjivo",F42)))</formula>
    </cfRule>
  </conditionalFormatting>
  <conditionalFormatting sqref="F42:F52">
    <cfRule type="containsText" dxfId="287" priority="94" operator="containsText" text="uspješan">
      <formula>NOT(ISERROR(SEARCH("uspješan",F42)))</formula>
    </cfRule>
    <cfRule type="containsText" dxfId="286" priority="95" operator="containsText" text="ne zadovoljava">
      <formula>NOT(ISERROR(SEARCH("ne zadovoljava",F42)))</formula>
    </cfRule>
    <cfRule type="containsText" dxfId="285" priority="96" operator="containsText" text="zadovoljava">
      <formula>NOT(ISERROR(SEARCH("zadovoljava",F42)))</formula>
    </cfRule>
    <cfRule type="containsText" dxfId="284" priority="93" operator="containsText" text="naročito uspješan">
      <formula>NOT(ISERROR(SEARCH("naročito uspješan",F42)))</formula>
    </cfRule>
  </conditionalFormatting>
  <conditionalFormatting sqref="F44">
    <cfRule type="containsText" dxfId="283" priority="102" operator="containsText" text="Nije primjenjivo">
      <formula>NOT(ISERROR(SEARCH("Nije primjenjivo",F44)))</formula>
    </cfRule>
  </conditionalFormatting>
  <conditionalFormatting sqref="F45">
    <cfRule type="containsText" dxfId="282" priority="209" operator="containsText" text="Nije primjenjivo">
      <formula>NOT(ISERROR(SEARCH("Nije primjenjivo",F45)))</formula>
    </cfRule>
  </conditionalFormatting>
  <conditionalFormatting sqref="F46">
    <cfRule type="containsText" dxfId="281" priority="107" operator="containsText" text="Nije primjenjivo">
      <formula>NOT(ISERROR(SEARCH("Nije primjenjivo",F46)))</formula>
    </cfRule>
  </conditionalFormatting>
  <conditionalFormatting sqref="F47">
    <cfRule type="containsText" dxfId="280" priority="204" operator="containsText" text="Nije primjenjivo">
      <formula>NOT(ISERROR(SEARCH("Nije primjenjivo",F47)))</formula>
    </cfRule>
  </conditionalFormatting>
  <conditionalFormatting sqref="F48">
    <cfRule type="containsText" dxfId="279" priority="112" operator="containsText" text="Nije primjenjivo">
      <formula>NOT(ISERROR(SEARCH("Nije primjenjivo",F48)))</formula>
    </cfRule>
  </conditionalFormatting>
  <conditionalFormatting sqref="F49">
    <cfRule type="containsText" dxfId="278" priority="199" operator="containsText" text="Nije primjenjivo">
      <formula>NOT(ISERROR(SEARCH("Nije primjenjivo",F49)))</formula>
    </cfRule>
  </conditionalFormatting>
  <conditionalFormatting sqref="F50:F51">
    <cfRule type="containsText" dxfId="277" priority="241" operator="containsText" text="Nije primjenjivo">
      <formula>NOT(ISERROR(SEARCH("Nije primjenjivo",F50)))</formula>
    </cfRule>
  </conditionalFormatting>
  <conditionalFormatting sqref="F58:F67">
    <cfRule type="containsText" dxfId="276" priority="117" operator="containsText" text="Nije primjenjivo">
      <formula>NOT(ISERROR(SEARCH("Nije primjenjivo",F58)))</formula>
    </cfRule>
  </conditionalFormatting>
  <conditionalFormatting sqref="F58:F69">
    <cfRule type="containsText" dxfId="275" priority="113" operator="containsText" text="naročito uspješan">
      <formula>NOT(ISERROR(SEARCH("naročito uspješan",F58)))</formula>
    </cfRule>
    <cfRule type="containsText" dxfId="274" priority="114" operator="containsText" text="uspješan">
      <formula>NOT(ISERROR(SEARCH("uspješan",F58)))</formula>
    </cfRule>
    <cfRule type="containsText" dxfId="273" priority="115" operator="containsText" text="ne zadovoljava">
      <formula>NOT(ISERROR(SEARCH("ne zadovoljava",F58)))</formula>
    </cfRule>
    <cfRule type="containsText" dxfId="272" priority="116" operator="containsText" text="zadovoljava">
      <formula>NOT(ISERROR(SEARCH("zadovoljava",F58)))</formula>
    </cfRule>
  </conditionalFormatting>
  <conditionalFormatting sqref="F78:I78">
    <cfRule type="containsText" dxfId="271" priority="15" operator="containsText" text="NE ">
      <formula>NOT(ISERROR(SEARCH("NE ",F78)))</formula>
    </cfRule>
    <cfRule type="containsText" dxfId="270" priority="17" operator="containsText" text="zadovoljava">
      <formula>NOT(ISERROR(SEARCH("zadovoljava",F78)))</formula>
    </cfRule>
    <cfRule type="containsText" dxfId="269" priority="10" operator="containsText" text="IZVRSTAN">
      <formula>NOT(ISERROR(SEARCH("IZVRSTAN",F78)))</formula>
    </cfRule>
    <cfRule type="containsText" dxfId="268" priority="13" operator="containsText" text="USPJEŠAN">
      <formula>NOT(ISERROR(SEARCH("USPJEŠAN",F78)))</formula>
    </cfRule>
    <cfRule type="containsText" dxfId="267" priority="11" operator="containsText" text="naročito">
      <formula>NOT(ISERROR(SEARCH("naročito",F78)))</formula>
    </cfRule>
  </conditionalFormatting>
  <conditionalFormatting sqref="G16">
    <cfRule type="cellIs" dxfId="266" priority="37" operator="lessThan">
      <formula>M16</formula>
    </cfRule>
  </conditionalFormatting>
  <conditionalFormatting sqref="G25:G27">
    <cfRule type="containsText" dxfId="265" priority="65" operator="containsText" text="N/P">
      <formula>NOT(ISERROR(SEARCH("N/P",G25)))</formula>
    </cfRule>
  </conditionalFormatting>
  <conditionalFormatting sqref="G25:G36">
    <cfRule type="cellIs" dxfId="264" priority="56" operator="equal">
      <formula>40</formula>
    </cfRule>
    <cfRule type="cellIs" dxfId="263" priority="63" operator="equal">
      <formula>10</formula>
    </cfRule>
    <cfRule type="cellIs" dxfId="262" priority="60" operator="equal">
      <formula>20</formula>
    </cfRule>
    <cfRule type="cellIs" dxfId="261" priority="58" operator="equal">
      <formula>30</formula>
    </cfRule>
  </conditionalFormatting>
  <conditionalFormatting sqref="G28">
    <cfRule type="containsText" dxfId="260" priority="548" operator="containsText" text="N/P">
      <formula>NOT(ISERROR(SEARCH("N/P",G28)))</formula>
    </cfRule>
  </conditionalFormatting>
  <conditionalFormatting sqref="G30:G35">
    <cfRule type="containsText" dxfId="259" priority="347" operator="containsText" text="N/P">
      <formula>NOT(ISERROR(SEARCH("N/P",G30)))</formula>
    </cfRule>
  </conditionalFormatting>
  <conditionalFormatting sqref="G38:G39">
    <cfRule type="cellIs" dxfId="258" priority="396" operator="equal">
      <formula>10</formula>
    </cfRule>
    <cfRule type="cellIs" dxfId="257" priority="389" operator="equal">
      <formula>40</formula>
    </cfRule>
    <cfRule type="cellIs" dxfId="256" priority="393" operator="equal">
      <formula>20</formula>
    </cfRule>
    <cfRule type="cellIs" dxfId="255" priority="391" operator="equal">
      <formula>30</formula>
    </cfRule>
  </conditionalFormatting>
  <conditionalFormatting sqref="G39">
    <cfRule type="containsText" dxfId="254" priority="398" operator="containsText" text="N/P">
      <formula>NOT(ISERROR(SEARCH("N/P",G39)))</formula>
    </cfRule>
  </conditionalFormatting>
  <conditionalFormatting sqref="G41:G52">
    <cfRule type="cellIs" dxfId="253" priority="183" operator="equal">
      <formula>10</formula>
    </cfRule>
    <cfRule type="cellIs" dxfId="252" priority="181" operator="equal">
      <formula>30</formula>
    </cfRule>
    <cfRule type="cellIs" dxfId="251" priority="180" operator="equal">
      <formula>40</formula>
    </cfRule>
    <cfRule type="cellIs" dxfId="250" priority="182" operator="equal">
      <formula>20</formula>
    </cfRule>
  </conditionalFormatting>
  <conditionalFormatting sqref="G42">
    <cfRule type="containsText" dxfId="249" priority="508" operator="containsText" text="N/P">
      <formula>NOT(ISERROR(SEARCH("N/P",G42)))</formula>
    </cfRule>
  </conditionalFormatting>
  <conditionalFormatting sqref="G44">
    <cfRule type="containsText" dxfId="248" priority="498" operator="containsText" text="N/P">
      <formula>NOT(ISERROR(SEARCH("N/P",G44)))</formula>
    </cfRule>
  </conditionalFormatting>
  <conditionalFormatting sqref="G45">
    <cfRule type="containsText" dxfId="247" priority="194" operator="containsText" text="N/P">
      <formula>NOT(ISERROR(SEARCH("N/P",G45)))</formula>
    </cfRule>
  </conditionalFormatting>
  <conditionalFormatting sqref="G46">
    <cfRule type="containsText" dxfId="246" priority="488" operator="containsText" text="N/P">
      <formula>NOT(ISERROR(SEARCH("N/P",G46)))</formula>
    </cfRule>
  </conditionalFormatting>
  <conditionalFormatting sqref="G47">
    <cfRule type="containsText" dxfId="245" priority="189" operator="containsText" text="N/P">
      <formula>NOT(ISERROR(SEARCH("N/P",G47)))</formula>
    </cfRule>
  </conditionalFormatting>
  <conditionalFormatting sqref="G48">
    <cfRule type="containsText" dxfId="244" priority="478" operator="containsText" text="N/P">
      <formula>NOT(ISERROR(SEARCH("N/P",G48)))</formula>
    </cfRule>
  </conditionalFormatting>
  <conditionalFormatting sqref="G49">
    <cfRule type="containsText" dxfId="243" priority="184" operator="containsText" text="N/P">
      <formula>NOT(ISERROR(SEARCH("N/P",G49)))</formula>
    </cfRule>
  </conditionalFormatting>
  <conditionalFormatting sqref="G50:G51">
    <cfRule type="containsText" dxfId="242" priority="242" operator="containsText" text="N/P">
      <formula>NOT(ISERROR(SEARCH("N/P",G50)))</formula>
    </cfRule>
  </conditionalFormatting>
  <conditionalFormatting sqref="G54:G56 G74:G75 G83 G98:G105 I100:I104 G107 G116:G1048576 G38 G41 G43 G52 G29 G36 G67:G69 G71">
    <cfRule type="containsText" dxfId="241" priority="610" operator="containsText" text="N/P">
      <formula>NOT(ISERROR(SEARCH("N/P",G29)))</formula>
    </cfRule>
  </conditionalFormatting>
  <conditionalFormatting sqref="G58:G66">
    <cfRule type="containsText" dxfId="240" priority="8" operator="containsText" text="N/P">
      <formula>NOT(ISERROR(SEARCH("N/P",G58)))</formula>
    </cfRule>
  </conditionalFormatting>
  <conditionalFormatting sqref="G58:G71">
    <cfRule type="cellIs" dxfId="239" priority="7" operator="equal">
      <formula>10</formula>
    </cfRule>
    <cfRule type="cellIs" dxfId="238" priority="6" operator="equal">
      <formula>20</formula>
    </cfRule>
    <cfRule type="cellIs" dxfId="237" priority="5" operator="equal">
      <formula>30</formula>
    </cfRule>
    <cfRule type="cellIs" dxfId="236" priority="4" operator="equal">
      <formula>40</formula>
    </cfRule>
  </conditionalFormatting>
  <conditionalFormatting sqref="G70">
    <cfRule type="containsText" dxfId="235" priority="378" operator="containsText" text="N/P">
      <formula>NOT(ISERROR(SEARCH("N/P",G70)))</formula>
    </cfRule>
  </conditionalFormatting>
  <conditionalFormatting sqref="G8:H12 G13 G18:H20">
    <cfRule type="cellIs" dxfId="234" priority="612" operator="lessThan">
      <formula>M8</formula>
    </cfRule>
  </conditionalFormatting>
  <conditionalFormatting sqref="G73:I73">
    <cfRule type="containsText" dxfId="233" priority="14" operator="containsText" text="uspješan">
      <formula>NOT(ISERROR(SEARCH("uspješan",G73)))</formula>
    </cfRule>
    <cfRule type="containsText" dxfId="232" priority="12" operator="containsText" text="naročito">
      <formula>NOT(ISERROR(SEARCH("naročito",G73)))</formula>
    </cfRule>
    <cfRule type="containsText" dxfId="231" priority="16" stopIfTrue="1" operator="containsText" text="ne ">
      <formula>NOT(ISERROR(SEARCH("ne ",G73)))</formula>
    </cfRule>
    <cfRule type="containsText" dxfId="230" priority="18" operator="containsText" text="zadovoljava">
      <formula>NOT(ISERROR(SEARCH("zadovoljava",G73)))</formula>
    </cfRule>
    <cfRule type="containsText" dxfId="229" priority="9" operator="containsText" text="popunj">
      <formula>NOT(ISERROR(SEARCH("popunj",G73)))</formula>
    </cfRule>
  </conditionalFormatting>
  <conditionalFormatting sqref="H25:H28">
    <cfRule type="containsText" dxfId="228" priority="55" operator="containsText" text="potrebno je ">
      <formula>NOT(ISERROR(SEARCH("potrebno je ",H25)))</formula>
    </cfRule>
  </conditionalFormatting>
  <conditionalFormatting sqref="H30 H32 H34 H36:H42 H44 H46 H48 H50 H52:H56 H58 H60 H62 H64 H66 H68:H72 H74:H75 H83 H98:H99 I100:I105 H107:H114 H116:H1048576">
    <cfRule type="containsText" dxfId="227" priority="210" operator="containsText" text="potrebno je ">
      <formula>NOT(ISERROR(SEARCH("potrebno je ",H30)))</formula>
    </cfRule>
  </conditionalFormatting>
  <conditionalFormatting sqref="I8:I12">
    <cfRule type="cellIs" dxfId="226" priority="611" operator="lessThan">
      <formula>#REF!</formula>
    </cfRule>
  </conditionalFormatting>
  <conditionalFormatting sqref="I18:I24">
    <cfRule type="cellIs" dxfId="225" priority="39" operator="lessThan">
      <formula>#REF!</formula>
    </cfRule>
  </conditionalFormatting>
  <conditionalFormatting sqref="I81">
    <cfRule type="expression" dxfId="224" priority="2">
      <formula>$M$82&lt;1</formula>
    </cfRule>
  </conditionalFormatting>
  <conditionalFormatting sqref="I100:I104 F40:F41 F54:F56 F74:F75 D79:D80 F83 F93 F98:F99 F105:F107 G110:G114 F116:F1048576 F38 F68:F69 F43 F52 F29 F36">
    <cfRule type="containsText" dxfId="223" priority="609" operator="containsText" text="Nije primjenjivo">
      <formula>NOT(ISERROR(SEARCH("Nije primjenjivo",D29)))</formula>
    </cfRule>
  </conditionalFormatting>
  <conditionalFormatting sqref="I100:I104 F40:F41 F54:F56 F74:F75 D79:D80 F83 F93 F98:F99 F105:F107 G110:G114 F116:F1048576">
    <cfRule type="containsText" dxfId="222" priority="605" operator="containsText" text="ne zadovoljava">
      <formula>NOT(ISERROR(SEARCH("ne zadovoljava",D40)))</formula>
    </cfRule>
  </conditionalFormatting>
  <conditionalFormatting sqref="I100:I104 G54:G56 G74:G75 G83 G98:G105 G107 G116:G1048576">
    <cfRule type="cellIs" dxfId="221" priority="602" operator="equal">
      <formula>30</formula>
    </cfRule>
    <cfRule type="cellIs" dxfId="220" priority="604" operator="equal">
      <formula>20</formula>
    </cfRule>
    <cfRule type="cellIs" dxfId="219" priority="608" operator="equal">
      <formula>10</formula>
    </cfRule>
    <cfRule type="cellIs" dxfId="218" priority="600" operator="equal">
      <formula>40</formula>
    </cfRule>
  </conditionalFormatting>
  <dataValidations count="4">
    <dataValidation type="textLength" operator="lessThan" allowBlank="1" showInputMessage="1" showErrorMessage="1" error="Maksimalan broz znakova (s prazninama) je 145" sqref="G18:G24 G8:G13 F13 F16:G16" xr:uid="{00000000-0002-0000-0300-000000000000}">
      <formula1>145</formula1>
    </dataValidation>
    <dataValidation type="textLength" operator="lessThan" allowBlank="1" showInputMessage="1" showErrorMessage="1" error="Maksimalan broj znakova (s prazninama) je 210" sqref="B18:E24 F21:F24" xr:uid="{00000000-0002-0000-0300-000001000000}">
      <formula1>210</formula1>
    </dataValidation>
    <dataValidation type="list" allowBlank="1" showInputMessage="1" showErrorMessage="1" sqref="F78:I78" xr:uid="{00000000-0002-0000-0300-000002000000}">
      <formula1>$J$78:$J$79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C94 I81" xr:uid="{2D6BAE55-2556-46EB-B817-9BFA40A0BEBF}">
      <formula1>45291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>
    <oddHeader>&amp;LIzvješće o učinkovitosti rada - &amp;"-,Podebljano"List 4.&amp;"-,Uobičajeno" - Završna kontrola učinkovitosti rada i prijedlog ocjene&amp;"-,Podebljano" &amp;"-,Uobičajeno"(popunjava se do 15. siječnja tekuće kalendarske godine, za rad u prethodnoj godini)</oddHeader>
    <oddFooter>&amp;C&amp;P/&amp;N</oddFooter>
  </headerFooter>
  <rowBreaks count="3" manualBreakCount="3">
    <brk id="38" max="16383" man="1"/>
    <brk id="54" max="16383" man="1"/>
    <brk id="68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3000000}">
          <x14:formula1>
            <xm:f>Podaci!$A$10:$A$14</xm:f>
          </x14:formula1>
          <xm:sqref>F29 F51 F35 F33 F31</xm:sqref>
        </x14:dataValidation>
        <x14:dataValidation type="list" allowBlank="1" showInputMessage="1" showErrorMessage="1" xr:uid="{00000000-0002-0000-0300-000004000000}">
          <x14:formula1>
            <xm:f>Podaci!$A$10:$A$15</xm:f>
          </x14:formula1>
          <xm:sqref>F43 F49 F45 F47</xm:sqref>
        </x14:dataValidation>
        <x14:dataValidation type="list" allowBlank="1" showInputMessage="1" showErrorMessage="1" xr:uid="{00000000-0002-0000-0300-000005000000}">
          <x14:formula1>
            <xm:f>Podaci!$D$10:$D$14</xm:f>
          </x14:formula1>
          <xm:sqref>F59 F67 F63 F61 F65</xm:sqref>
        </x14:dataValidation>
        <x14:dataValidation type="list" allowBlank="1" showInputMessage="1" showErrorMessage="1" xr:uid="{00000000-0002-0000-0300-000006000000}">
          <x14:formula1>
            <xm:f>Podaci!$G$2:$G$4</xm:f>
          </x14:formula1>
          <xm:sqref>F8:F12 F18:F20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AU51"/>
  <sheetViews>
    <sheetView showGridLines="0" showRowColHeaders="0" showRuler="0" view="pageLayout" topLeftCell="A6" zoomScaleNormal="100" workbookViewId="0">
      <selection activeCell="X6" sqref="X6:AC6"/>
    </sheetView>
  </sheetViews>
  <sheetFormatPr defaultRowHeight="15" x14ac:dyDescent="0.25"/>
  <cols>
    <col min="1" max="7" width="2.5703125" customWidth="1"/>
    <col min="8" max="8" width="2.5703125" style="24" customWidth="1"/>
    <col min="9" max="38" width="2.5703125" customWidth="1"/>
    <col min="39" max="39" width="9.140625" hidden="1" customWidth="1"/>
    <col min="40" max="40" width="21.140625" hidden="1" customWidth="1"/>
    <col min="41" max="45" width="9.140625" hidden="1" customWidth="1"/>
    <col min="46" max="46" width="9.140625" style="142" hidden="1" customWidth="1"/>
    <col min="47" max="47" width="9.140625" hidden="1" customWidth="1"/>
  </cols>
  <sheetData>
    <row r="1" spans="1:46" x14ac:dyDescent="0.25">
      <c r="A1" s="87" t="s">
        <v>74</v>
      </c>
      <c r="B1" s="73"/>
      <c r="C1" s="73"/>
      <c r="D1" s="73"/>
      <c r="E1" s="73"/>
      <c r="F1" s="73"/>
      <c r="G1" s="73"/>
      <c r="H1" s="90"/>
      <c r="I1" s="73"/>
      <c r="J1" s="191" t="str">
        <f>IF('List 1.'!J13+'List 1.'!J15+'List 1.'!J21&lt;3,'List 3.'!K4,AN2)</f>
        <v>Osobni podaci nisu ispravno popunjeni</v>
      </c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2"/>
      <c r="AN1" t="str">
        <f>UPPER('List 1.'!B13&amp;" "&amp;'List 1.'!B15)</f>
        <v xml:space="preserve"> </v>
      </c>
      <c r="AP1" s="128">
        <f>IF(J1=AN3,0,1)</f>
        <v>0</v>
      </c>
      <c r="AT1" s="142" t="s">
        <v>228</v>
      </c>
    </row>
    <row r="2" spans="1:46" x14ac:dyDescent="0.25">
      <c r="A2" s="88"/>
      <c r="B2" s="89"/>
      <c r="C2" s="89"/>
      <c r="D2" s="18"/>
      <c r="E2" s="18"/>
      <c r="F2" s="18"/>
      <c r="G2" s="18"/>
      <c r="H2" s="44"/>
      <c r="I2" s="18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4"/>
      <c r="AN2" t="str">
        <f>AN1&amp;", "&amp;'List 1.'!C21</f>
        <v xml:space="preserve"> , </v>
      </c>
    </row>
    <row r="3" spans="1:46" x14ac:dyDescent="0.25">
      <c r="B3" s="1"/>
      <c r="G3" s="20"/>
      <c r="AN3" t="s">
        <v>150</v>
      </c>
    </row>
    <row r="4" spans="1:46" x14ac:dyDescent="0.25">
      <c r="A4" s="2" t="s">
        <v>122</v>
      </c>
    </row>
    <row r="5" spans="1:46" x14ac:dyDescent="0.25">
      <c r="AM5" t="s">
        <v>217</v>
      </c>
      <c r="AN5" s="52"/>
      <c r="AO5" t="s">
        <v>207</v>
      </c>
      <c r="AQ5" t="s">
        <v>208</v>
      </c>
    </row>
    <row r="6" spans="1:46" x14ac:dyDescent="0.25">
      <c r="A6" s="267" t="s">
        <v>116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08"/>
      <c r="Y6" s="208"/>
      <c r="Z6" s="208"/>
      <c r="AA6" s="208"/>
      <c r="AB6" s="208"/>
      <c r="AC6" s="208"/>
      <c r="AD6" t="s">
        <v>117</v>
      </c>
      <c r="AM6" s="2">
        <f>IF(X6&gt;0,1,0)</f>
        <v>0</v>
      </c>
      <c r="AN6" s="97">
        <f>'List 4.'!C94</f>
        <v>0</v>
      </c>
      <c r="AP6">
        <f>AN6-X6</f>
        <v>0</v>
      </c>
      <c r="AQ6">
        <f>IFERROR(AP6,"greška")</f>
        <v>0</v>
      </c>
      <c r="AR6">
        <f>IF(X6&lt;AN6,0,1)</f>
        <v>1</v>
      </c>
      <c r="AS6" s="128">
        <f>IF(AQ6="greška",0,IF(AM6=1,IF(AR6=1,1,0),0))</f>
        <v>0</v>
      </c>
      <c r="AT6" s="141">
        <f>LEN(X6)*X6</f>
        <v>0</v>
      </c>
    </row>
    <row r="7" spans="1:46" x14ac:dyDescent="0.25">
      <c r="H7" s="270" t="str">
        <f>IF(AM6=0,AM5,IF(AQ6="greška",AO5,IF(AR6=0,AQ5,"")))</f>
        <v>Potrebno je upisati datum ↑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70"/>
    </row>
    <row r="8" spans="1:46" x14ac:dyDescent="0.25">
      <c r="A8" t="s">
        <v>106</v>
      </c>
      <c r="C8" s="91"/>
      <c r="D8" s="54"/>
      <c r="E8" s="54" t="s">
        <v>108</v>
      </c>
      <c r="H8"/>
      <c r="L8" s="271" t="str">
        <f>IF(AM11=0,AN10,IF(AM8+AM10=2,AN8,""))</f>
        <v>← Potrebno je odabrati jednu od ponuđenih opcija</v>
      </c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M8">
        <f>IF(C8&gt;0,1,0)</f>
        <v>0</v>
      </c>
      <c r="AN8" t="s">
        <v>161</v>
      </c>
      <c r="AT8" s="141">
        <f>IF(AM8=1,LEN(E8),LEN(E10))</f>
        <v>13</v>
      </c>
    </row>
    <row r="9" spans="1:46" ht="5.25" customHeight="1" x14ac:dyDescent="0.25">
      <c r="C9" s="56"/>
      <c r="D9" s="62"/>
      <c r="H9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</row>
    <row r="10" spans="1:46" x14ac:dyDescent="0.25">
      <c r="A10" t="s">
        <v>107</v>
      </c>
      <c r="C10" s="91"/>
      <c r="D10" s="54"/>
      <c r="E10" s="54" t="s">
        <v>109</v>
      </c>
      <c r="H10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M10">
        <f>IF(C10&gt;0,1,0)</f>
        <v>0</v>
      </c>
      <c r="AN10" t="s">
        <v>162</v>
      </c>
    </row>
    <row r="11" spans="1:46" x14ac:dyDescent="0.25">
      <c r="C11" s="62"/>
      <c r="H11"/>
      <c r="AM11">
        <f>SUM(AM8:AM10)</f>
        <v>0</v>
      </c>
      <c r="AP11" s="128">
        <f>IF(AM11=1,1,0)</f>
        <v>0</v>
      </c>
    </row>
    <row r="12" spans="1:46" x14ac:dyDescent="0.25">
      <c r="A12" s="2" t="s">
        <v>113</v>
      </c>
      <c r="H12"/>
      <c r="L12" s="268" t="str">
        <f>IF(AM10=1,IF(AP33&lt;1,AM12&amp;" "&amp;AN12&amp;" "&amp;AM12,""),"")</f>
        <v/>
      </c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M12" t="s">
        <v>93</v>
      </c>
      <c r="AN12" t="s">
        <v>158</v>
      </c>
    </row>
    <row r="13" spans="1:46" x14ac:dyDescent="0.25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6"/>
      <c r="AT13" s="141">
        <f>LEN(A13)</f>
        <v>0</v>
      </c>
    </row>
    <row r="14" spans="1:46" x14ac:dyDescent="0.25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9"/>
    </row>
    <row r="15" spans="1:46" x14ac:dyDescent="0.25">
      <c r="A15" s="177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9"/>
    </row>
    <row r="16" spans="1:46" x14ac:dyDescent="0.25">
      <c r="A16" s="177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9"/>
    </row>
    <row r="17" spans="1:38" x14ac:dyDescent="0.25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9"/>
    </row>
    <row r="18" spans="1:38" x14ac:dyDescent="0.25">
      <c r="A18" s="177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9"/>
    </row>
    <row r="19" spans="1:38" x14ac:dyDescent="0.25">
      <c r="A19" s="177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9"/>
    </row>
    <row r="20" spans="1:38" x14ac:dyDescent="0.25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9"/>
    </row>
    <row r="21" spans="1:38" x14ac:dyDescent="0.2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9"/>
    </row>
    <row r="22" spans="1:38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9"/>
    </row>
    <row r="23" spans="1:38" x14ac:dyDescent="0.25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9"/>
    </row>
    <row r="24" spans="1:38" x14ac:dyDescent="0.25">
      <c r="A24" s="177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9"/>
    </row>
    <row r="25" spans="1:38" x14ac:dyDescent="0.25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9"/>
    </row>
    <row r="26" spans="1:38" x14ac:dyDescent="0.25">
      <c r="A26" s="177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9"/>
    </row>
    <row r="27" spans="1:38" x14ac:dyDescent="0.25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9"/>
    </row>
    <row r="28" spans="1:38" x14ac:dyDescent="0.25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9"/>
    </row>
    <row r="29" spans="1:38" x14ac:dyDescent="0.25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9"/>
    </row>
    <row r="30" spans="1:38" x14ac:dyDescent="0.25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9"/>
    </row>
    <row r="31" spans="1:38" x14ac:dyDescent="0.25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9"/>
    </row>
    <row r="32" spans="1:38" x14ac:dyDescent="0.25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9"/>
    </row>
    <row r="33" spans="1:46" x14ac:dyDescent="0.25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9"/>
      <c r="AP33" s="128">
        <f>IF(AM10=0,1,IF(A13&gt;0,1,0))</f>
        <v>1</v>
      </c>
    </row>
    <row r="34" spans="1:46" x14ac:dyDescent="0.25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9"/>
    </row>
    <row r="35" spans="1:46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9"/>
    </row>
    <row r="36" spans="1:46" x14ac:dyDescent="0.2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9"/>
    </row>
    <row r="37" spans="1:46" x14ac:dyDescent="0.25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2"/>
    </row>
    <row r="38" spans="1:46" x14ac:dyDescent="0.25">
      <c r="A38" s="69" t="s">
        <v>110</v>
      </c>
      <c r="H38"/>
      <c r="AM38" t="s">
        <v>219</v>
      </c>
    </row>
    <row r="39" spans="1:46" x14ac:dyDescent="0.25">
      <c r="H39"/>
      <c r="AD39" s="131" t="str">
        <f>IF(AM8&gt;AM10,IF(AM39=1,AM38,""),"")</f>
        <v/>
      </c>
      <c r="AM39">
        <f>IF(Z40&gt;0,1,0)</f>
        <v>0</v>
      </c>
      <c r="AN39" s="52" t="s">
        <v>86</v>
      </c>
      <c r="AS39">
        <f>IF(AM8&gt;AM10,IF(AM39=1,0,1),1)</f>
        <v>1</v>
      </c>
    </row>
    <row r="40" spans="1:46" s="56" customFormat="1" x14ac:dyDescent="0.25">
      <c r="A40" s="267" t="str">
        <f>IF(AM8&gt;AM10,"","Primjedba državnog službenika/namještanika zajednički je razmotrena dana:")</f>
        <v>Primjedba državnog službenika/namještanika zajednički je razmotrena dana:</v>
      </c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9"/>
      <c r="AA40" s="269"/>
      <c r="AB40" s="269"/>
      <c r="AC40" s="269"/>
      <c r="AD40" s="269"/>
      <c r="AE40" s="269"/>
      <c r="AF40"/>
      <c r="AG40"/>
      <c r="AH40"/>
      <c r="AI40"/>
      <c r="AJ40"/>
      <c r="AK40"/>
      <c r="AL40"/>
      <c r="AM40" s="2">
        <f>IF(AM8=1,1,IF(Z40&gt;0,1,0))</f>
        <v>0</v>
      </c>
      <c r="AN40" s="130">
        <f>X6</f>
        <v>0</v>
      </c>
      <c r="AP40">
        <f>AN40-Z40</f>
        <v>0</v>
      </c>
      <c r="AQ40">
        <f>IFERROR(AP40,"greška")</f>
        <v>0</v>
      </c>
      <c r="AR40">
        <f>IF(Z40&lt;AN40,0,1)</f>
        <v>1</v>
      </c>
      <c r="AS40" s="128">
        <f>IF(AM8&gt;AM10,1,IF(AQ40="greška",0,IF(AM40=1,IF(AR40=1,1,0),0)))</f>
        <v>0</v>
      </c>
      <c r="AT40" s="148">
        <f>LEN(Z40)*Z40</f>
        <v>0</v>
      </c>
    </row>
    <row r="41" spans="1:46" x14ac:dyDescent="0.25">
      <c r="H41" s="270" t="str">
        <f>IF(AM8&gt;AM10,"",IF(AM40=0,AM41,IF(AQ40="greška",AM42,IF(AR40=0,AM43,""))))</f>
        <v>Potrebno je upisati datum ↑</v>
      </c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70"/>
      <c r="AM41" t="s">
        <v>217</v>
      </c>
    </row>
    <row r="42" spans="1:46" x14ac:dyDescent="0.25">
      <c r="H42"/>
      <c r="AM42" t="s">
        <v>207</v>
      </c>
      <c r="AN42" s="52"/>
    </row>
    <row r="43" spans="1:46" x14ac:dyDescent="0.25">
      <c r="H43"/>
      <c r="AM43" t="s">
        <v>209</v>
      </c>
    </row>
    <row r="44" spans="1:46" x14ac:dyDescent="0.25">
      <c r="B44" s="151" t="s">
        <v>64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U44" s="151" t="s">
        <v>65</v>
      </c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</row>
    <row r="45" spans="1:46" x14ac:dyDescent="0.25">
      <c r="AP45" t="s">
        <v>154</v>
      </c>
    </row>
    <row r="46" spans="1:46" x14ac:dyDescent="0.25"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N46" t="s">
        <v>153</v>
      </c>
      <c r="AO46">
        <v>6</v>
      </c>
      <c r="AP46" s="21">
        <f>AP33+AP11+AP1+AM40+AS6+AS39</f>
        <v>2</v>
      </c>
    </row>
    <row r="47" spans="1:46" x14ac:dyDescent="0.25">
      <c r="B47" s="189" t="str">
        <f>'List 1.'!M13</f>
        <v xml:space="preserve"> </v>
      </c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U47" s="189" t="str">
        <f>'List 2.'!K21</f>
        <v/>
      </c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</row>
    <row r="48" spans="1:46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46" x14ac:dyDescent="0.25">
      <c r="H49"/>
    </row>
    <row r="50" spans="1:46" x14ac:dyDescent="0.25">
      <c r="A50" s="272" t="str">
        <f>IF(AO46=AP46,AN51&amp;TEXT(AT51,"0.000"),AN50)</f>
        <v>List 5. nije ispravno popunjen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N50" t="s">
        <v>178</v>
      </c>
    </row>
    <row r="51" spans="1:46" x14ac:dyDescent="0.25">
      <c r="AN51" t="s">
        <v>232</v>
      </c>
      <c r="AT51" s="141">
        <f>AT40+AT13+AT8+AT6</f>
        <v>13</v>
      </c>
    </row>
  </sheetData>
  <sheetProtection algorithmName="SHA-512" hashValue="sUEwuIushk1fjTGcJ5fULqdCblogqyWWoVuA5jOrbYGvXoL3KMtl7rkgNZk3bD5df33myFZxrXk5pfrA0gyS4A==" saltValue="AZct8LZMeVDX5th5+sz/jQ==" spinCount="100000" sheet="1" objects="1" scenarios="1" selectLockedCells="1"/>
  <mergeCells count="17">
    <mergeCell ref="B47:R47"/>
    <mergeCell ref="U47:AK47"/>
    <mergeCell ref="H7:AB7"/>
    <mergeCell ref="L8:AK10"/>
    <mergeCell ref="A50:AL50"/>
    <mergeCell ref="B46:R46"/>
    <mergeCell ref="U46:AK46"/>
    <mergeCell ref="J1:AL2"/>
    <mergeCell ref="B44:R44"/>
    <mergeCell ref="A13:AL37"/>
    <mergeCell ref="A6:W6"/>
    <mergeCell ref="X6:AC6"/>
    <mergeCell ref="L12:AJ12"/>
    <mergeCell ref="A40:Y40"/>
    <mergeCell ref="Z40:AE40"/>
    <mergeCell ref="U44:AK44"/>
    <mergeCell ref="H41:AD41"/>
  </mergeCells>
  <conditionalFormatting sqref="A2">
    <cfRule type="containsText" dxfId="217" priority="60" operator="containsText" text="Osobni podaci iz Obrazca 1.A nisu popunjeni">
      <formula>NOT(ISERROR(SEARCH("Osobni podaci iz Obrazca 1.A nisu popunjeni",A2)))</formula>
    </cfRule>
  </conditionalFormatting>
  <conditionalFormatting sqref="A4">
    <cfRule type="containsText" dxfId="216" priority="37" operator="containsText" text="Osobni podaci iz Obrazca 1.A nisu popunjeni">
      <formula>NOT(ISERROR(SEARCH("Osobni podaci iz Obrazca 1.A nisu popunjeni",A4)))</formula>
    </cfRule>
  </conditionalFormatting>
  <conditionalFormatting sqref="A13:AL37">
    <cfRule type="cellIs" dxfId="215" priority="20" operator="lessThan">
      <formula>$AM$10</formula>
    </cfRule>
  </conditionalFormatting>
  <conditionalFormatting sqref="A50:AL50">
    <cfRule type="containsText" dxfId="214" priority="1" operator="containsText" text="kontrolni broj">
      <formula>NOT(ISERROR(SEARCH("kontrolni broj",A50)))</formula>
    </cfRule>
    <cfRule type="containsText" dxfId="213" priority="4" operator="containsText" text="ispravno">
      <formula>NOT(ISERROR(SEARCH("ispravno",A50)))</formula>
    </cfRule>
  </conditionalFormatting>
  <conditionalFormatting sqref="C8">
    <cfRule type="containsText" dxfId="212" priority="18" operator="containsText" text="x">
      <formula>NOT(ISERROR(SEARCH("x",C8)))</formula>
    </cfRule>
  </conditionalFormatting>
  <conditionalFormatting sqref="C10">
    <cfRule type="containsText" dxfId="211" priority="17" operator="containsText" text="x">
      <formula>NOT(ISERROR(SEARCH("x",C10)))</formula>
    </cfRule>
  </conditionalFormatting>
  <conditionalFormatting sqref="E8">
    <cfRule type="expression" dxfId="210" priority="11">
      <formula>$AM$8=1</formula>
    </cfRule>
  </conditionalFormatting>
  <conditionalFormatting sqref="E10">
    <cfRule type="expression" dxfId="209" priority="10">
      <formula>$AM$10=1</formula>
    </cfRule>
  </conditionalFormatting>
  <conditionalFormatting sqref="F3:F4 F51:F1048576">
    <cfRule type="containsText" dxfId="208" priority="345" operator="containsText" text="naročito uspješan">
      <formula>NOT(ISERROR(SEARCH("naročito uspješan",F3)))</formula>
    </cfRule>
    <cfRule type="containsText" dxfId="207" priority="347" operator="containsText" text="uspješan">
      <formula>NOT(ISERROR(SEARCH("uspješan",F3)))</formula>
    </cfRule>
    <cfRule type="containsText" dxfId="206" priority="349" operator="containsText" text="ne zadovoljava">
      <formula>NOT(ISERROR(SEARCH("ne zadovoljava",F3)))</formula>
    </cfRule>
    <cfRule type="containsText" dxfId="205" priority="350" operator="containsText" text="zadovoljava">
      <formula>NOT(ISERROR(SEARCH("zadovoljava",F3)))</formula>
    </cfRule>
    <cfRule type="containsText" dxfId="204" priority="352" operator="containsText" text="Nije primjenjivo">
      <formula>NOT(ISERROR(SEARCH("Nije primjenjivo",F3)))</formula>
    </cfRule>
  </conditionalFormatting>
  <conditionalFormatting sqref="G3:G4 G51:G1048576">
    <cfRule type="cellIs" dxfId="203" priority="344" operator="equal">
      <formula>40</formula>
    </cfRule>
    <cfRule type="cellIs" dxfId="202" priority="346" operator="equal">
      <formula>30</formula>
    </cfRule>
    <cfRule type="cellIs" dxfId="201" priority="348" operator="equal">
      <formula>20</formula>
    </cfRule>
    <cfRule type="cellIs" dxfId="200" priority="351" operator="equal">
      <formula>10</formula>
    </cfRule>
    <cfRule type="containsText" dxfId="199" priority="353" operator="containsText" text="N/P">
      <formula>NOT(ISERROR(SEARCH("N/P",G3)))</formula>
    </cfRule>
  </conditionalFormatting>
  <conditionalFormatting sqref="H3:H4 H51:H1048576">
    <cfRule type="containsText" dxfId="198" priority="178" operator="containsText" text="potrebno je ">
      <formula>NOT(ISERROR(SEARCH("potrebno je ",H3)))</formula>
    </cfRule>
  </conditionalFormatting>
  <conditionalFormatting sqref="J1">
    <cfRule type="containsText" dxfId="197" priority="45" operator="containsText" text="osobni podaci">
      <formula>NOT(ISERROR(SEARCH("osobni podaci",J1)))</formula>
    </cfRule>
  </conditionalFormatting>
  <conditionalFormatting sqref="X6">
    <cfRule type="expression" dxfId="196" priority="22">
      <formula>$AS$6&lt;1</formula>
    </cfRule>
  </conditionalFormatting>
  <conditionalFormatting sqref="Z40">
    <cfRule type="expression" dxfId="195" priority="2">
      <formula>$AS$40=0</formula>
    </cfRule>
  </conditionalFormatting>
  <dataValidations count="3">
    <dataValidation type="textLength" operator="equal" allowBlank="1" showInputMessage="1" showErrorMessage="1" error="Moguće je unijeti samo jedan znak. Odabrano polje potrebno je označiti slovom &quot;x&quot;" promptTitle="x" prompt="Odabrano polje potrebno je označiti slovom &quot;x&quot;" sqref="C10 C8" xr:uid="{00000000-0002-0000-0400-000000000000}">
      <formula1>1</formula1>
    </dataValidation>
    <dataValidation type="textLength" operator="lessThan" allowBlank="1" showInputMessage="1" showErrorMessage="1" errorTitle="Duljina teksta" error="Maksimalni broj znakova (s razmacima) je 2840" sqref="A13:AL37" xr:uid="{7CCF614D-9BD1-4FE7-816B-D9CFE00A4A0A}">
      <formula1>2840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X6:AC6 Z40:AE40" xr:uid="{9FA77CC0-9FAE-4DF1-AA48-E9172A18F016}">
      <formula1>45291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>
    <oddHeader>&amp;LIzvješće o učinkovitosti rada - &amp;"-,Podebljano"List 5. &amp;"-,Uobičajeno"- Primjedba državnog službenika/namještenika na prijedlog ocjene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A1:AW109"/>
  <sheetViews>
    <sheetView showGridLines="0" showRowColHeaders="0" showRuler="0" view="pageLayout" zoomScaleNormal="100" workbookViewId="0">
      <selection activeCell="G59" sqref="G59:AJ60"/>
    </sheetView>
  </sheetViews>
  <sheetFormatPr defaultRowHeight="15" x14ac:dyDescent="0.25"/>
  <cols>
    <col min="1" max="18" width="2.7109375" customWidth="1"/>
    <col min="19" max="31" width="2.5703125" customWidth="1"/>
    <col min="32" max="37" width="2.7109375" customWidth="1"/>
    <col min="38" max="40" width="2.7109375" hidden="1" customWidth="1"/>
    <col min="41" max="41" width="10.42578125" hidden="1" customWidth="1"/>
    <col min="42" max="46" width="9.140625" hidden="1" customWidth="1"/>
    <col min="47" max="47" width="9.140625" style="142" hidden="1" customWidth="1"/>
    <col min="48" max="49" width="9.140625" hidden="1" customWidth="1"/>
    <col min="50" max="51" width="9.140625" customWidth="1"/>
  </cols>
  <sheetData>
    <row r="1" spans="1:47" x14ac:dyDescent="0.25">
      <c r="AU1" t="s">
        <v>235</v>
      </c>
    </row>
    <row r="2" spans="1:47" ht="15" customHeight="1" x14ac:dyDescent="0.25">
      <c r="A2" s="87" t="s">
        <v>74</v>
      </c>
      <c r="B2" s="73"/>
      <c r="C2" s="73"/>
      <c r="D2" s="73"/>
      <c r="E2" s="73"/>
      <c r="F2" s="73"/>
      <c r="G2" s="73"/>
      <c r="H2" s="90"/>
      <c r="I2" s="73"/>
      <c r="J2" s="191" t="str">
        <f>IF('List 1.'!J13+'List 1.'!J15+'List 1.'!J21&lt;3,'List 3.'!K4,AN3)</f>
        <v>Osobni podaci nisu ispravno popunjeni</v>
      </c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2"/>
      <c r="AL2" s="86"/>
      <c r="AN2" t="str">
        <f>UPPER('List 1.'!B13&amp;" "&amp;'List 1.'!B15)</f>
        <v xml:space="preserve"> </v>
      </c>
    </row>
    <row r="3" spans="1:47" x14ac:dyDescent="0.25">
      <c r="A3" s="88"/>
      <c r="B3" s="89"/>
      <c r="C3" s="89"/>
      <c r="D3" s="18"/>
      <c r="E3" s="18"/>
      <c r="F3" s="18"/>
      <c r="G3" s="18"/>
      <c r="H3" s="44"/>
      <c r="I3" s="18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4"/>
      <c r="AL3" s="86"/>
      <c r="AN3" t="str">
        <f>AN2&amp;", "&amp;'List 1.'!C21</f>
        <v xml:space="preserve"> , </v>
      </c>
      <c r="AR3" s="2">
        <f>IF(J2=AN4,0,1)</f>
        <v>0</v>
      </c>
    </row>
    <row r="4" spans="1:47" ht="8.25" customHeight="1" x14ac:dyDescent="0.25">
      <c r="AN4" t="s">
        <v>150</v>
      </c>
    </row>
    <row r="5" spans="1:47" x14ac:dyDescent="0.25">
      <c r="A5" s="2" t="s">
        <v>165</v>
      </c>
    </row>
    <row r="6" spans="1:47" ht="6" customHeight="1" x14ac:dyDescent="0.25">
      <c r="A6" s="2"/>
    </row>
    <row r="7" spans="1:47" x14ac:dyDescent="0.25">
      <c r="A7" s="2"/>
      <c r="G7" s="273" t="s">
        <v>163</v>
      </c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</row>
    <row r="8" spans="1:47" x14ac:dyDescent="0.25"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</row>
    <row r="9" spans="1:47" x14ac:dyDescent="0.25">
      <c r="A9" s="2" t="s">
        <v>114</v>
      </c>
      <c r="G9" s="174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6"/>
      <c r="AL9" s="2">
        <f>IF(G9&gt;0,1,0)</f>
        <v>0</v>
      </c>
      <c r="AM9">
        <f>IF(AL9=1,1,IF(AR27=AQ27,1,0))</f>
        <v>0</v>
      </c>
      <c r="AO9">
        <f>IF(AL9+AR12+AM19+AL25+AL29=0,4,0)</f>
        <v>4</v>
      </c>
      <c r="AU9" s="138">
        <f>LEN(G9)</f>
        <v>0</v>
      </c>
    </row>
    <row r="10" spans="1:47" x14ac:dyDescent="0.25">
      <c r="A10" s="2"/>
      <c r="G10" s="180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2"/>
    </row>
    <row r="11" spans="1:47" ht="9" customHeight="1" x14ac:dyDescent="0.25">
      <c r="C11" s="54"/>
    </row>
    <row r="12" spans="1:47" x14ac:dyDescent="0.25">
      <c r="A12" t="s">
        <v>106</v>
      </c>
      <c r="C12" s="91"/>
      <c r="D12" s="54"/>
      <c r="E12" s="54" t="s">
        <v>108</v>
      </c>
      <c r="L12" s="271" t="str">
        <f>IF(AM12+AM14=2,AP14,IF(AO12=0,AP16,""))</f>
        <v>← Potrebno je odabrati jednu od ponuđenih opcija</v>
      </c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M12">
        <f>IF(C12&gt;0,1,0)</f>
        <v>0</v>
      </c>
      <c r="AO12">
        <f>IF(AM12+AM14=1,1,IF(AR27=AQ27,1,0))</f>
        <v>0</v>
      </c>
      <c r="AR12">
        <f>AM12+AM14</f>
        <v>0</v>
      </c>
      <c r="AU12" s="138">
        <f>IF(AM12=1,LEN(E12),LEN(E14))</f>
        <v>13</v>
      </c>
    </row>
    <row r="13" spans="1:47" ht="4.5" customHeight="1" x14ac:dyDescent="0.25">
      <c r="C13" s="56"/>
      <c r="D13" s="62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</row>
    <row r="14" spans="1:47" x14ac:dyDescent="0.25">
      <c r="A14" t="s">
        <v>107</v>
      </c>
      <c r="C14" s="91"/>
      <c r="D14" s="54"/>
      <c r="E14" s="54" t="s">
        <v>109</v>
      </c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M14">
        <f>IF(C14&gt;0,1,0)</f>
        <v>0</v>
      </c>
      <c r="AP14" t="s">
        <v>161</v>
      </c>
    </row>
    <row r="15" spans="1:47" ht="9" customHeight="1" x14ac:dyDescent="0.25">
      <c r="C15" s="62"/>
    </row>
    <row r="16" spans="1:47" x14ac:dyDescent="0.25">
      <c r="A16" s="2" t="s">
        <v>113</v>
      </c>
      <c r="P16" s="70" t="str">
        <f>IF(AM14=1,IF(AM19&lt;1,AO17&amp;" "&amp;AP17&amp;" "&amp;AO17,""),"")</f>
        <v/>
      </c>
      <c r="AP16" t="s">
        <v>162</v>
      </c>
    </row>
    <row r="17" spans="1:47" x14ac:dyDescent="0.25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6"/>
      <c r="AO17" t="s">
        <v>93</v>
      </c>
      <c r="AP17" t="s">
        <v>158</v>
      </c>
      <c r="AU17" s="138">
        <f>LEN(A17)</f>
        <v>0</v>
      </c>
    </row>
    <row r="18" spans="1:47" x14ac:dyDescent="0.25">
      <c r="A18" s="177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9"/>
    </row>
    <row r="19" spans="1:47" x14ac:dyDescent="0.25">
      <c r="A19" s="177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9"/>
      <c r="AM19">
        <f>IF(A17&gt;0,1,0)</f>
        <v>0</v>
      </c>
      <c r="AR19" s="2">
        <f>IF(AM14=0,1,IF(AM14+AM19=2,1,0))</f>
        <v>1</v>
      </c>
    </row>
    <row r="20" spans="1:47" x14ac:dyDescent="0.25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9"/>
    </row>
    <row r="21" spans="1:47" x14ac:dyDescent="0.2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9"/>
    </row>
    <row r="22" spans="1:47" x14ac:dyDescent="0.25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2"/>
    </row>
    <row r="23" spans="1:47" x14ac:dyDescent="0.25">
      <c r="A23" s="119" t="s">
        <v>110</v>
      </c>
    </row>
    <row r="24" spans="1:47" x14ac:dyDescent="0.25">
      <c r="A24" s="276" t="s">
        <v>172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t="s">
        <v>215</v>
      </c>
      <c r="AP24" t="s">
        <v>204</v>
      </c>
      <c r="AR24" t="s">
        <v>210</v>
      </c>
    </row>
    <row r="25" spans="1:47" x14ac:dyDescent="0.25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">
        <f>IF(E26&gt;0,1,0)</f>
        <v>0</v>
      </c>
      <c r="AM25">
        <f>IF(AR27=AQ27,1,0)</f>
        <v>0</v>
      </c>
      <c r="AN25">
        <f>IF(AM25=1,1,IF(AT25=1,1,0))</f>
        <v>0</v>
      </c>
      <c r="AO25" s="97">
        <f>'List 4.'!C94</f>
        <v>0</v>
      </c>
      <c r="AQ25">
        <f>AO25-E26</f>
        <v>0</v>
      </c>
      <c r="AR25">
        <f>IFERROR(AQ25,"greška")</f>
        <v>0</v>
      </c>
      <c r="AS25">
        <f>IF(E26&lt;AO25,0,1)</f>
        <v>1</v>
      </c>
      <c r="AT25" s="128">
        <f>IF(AR25="greška",0,IF(AL25=1,IF(AS25=1,1,0),0))</f>
        <v>0</v>
      </c>
    </row>
    <row r="26" spans="1:47" x14ac:dyDescent="0.25">
      <c r="B26" s="54" t="s">
        <v>63</v>
      </c>
      <c r="E26" s="208"/>
      <c r="F26" s="208"/>
      <c r="G26" s="208"/>
      <c r="H26" s="208"/>
      <c r="I26" s="208"/>
      <c r="J26" s="208"/>
      <c r="W26" s="151" t="s">
        <v>115</v>
      </c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R26" t="s">
        <v>154</v>
      </c>
      <c r="AU26" s="141">
        <f>LEN(E26)*E26</f>
        <v>0</v>
      </c>
    </row>
    <row r="27" spans="1:47" ht="12.75" customHeight="1" x14ac:dyDescent="0.25">
      <c r="E27" s="70" t="str">
        <f>IF(AM25=1,"",IF(AR27=AQ27,"",IF(AL25=0,AL24,IF(AR25="greška",AP24,IF(AS25=0,AR24,"")))))</f>
        <v>↑ Potrebno je upisati datum</v>
      </c>
      <c r="AO27" t="s">
        <v>153</v>
      </c>
      <c r="AQ27">
        <v>6</v>
      </c>
      <c r="AR27">
        <f>AT25+AR12+AL9+AR3+AO9+AR19+AL29</f>
        <v>5</v>
      </c>
    </row>
    <row r="28" spans="1:47" ht="12.75" customHeight="1" x14ac:dyDescent="0.25"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M28" s="52" t="s">
        <v>86</v>
      </c>
    </row>
    <row r="29" spans="1:47" x14ac:dyDescent="0.25"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  <c r="AL29">
        <f>IF(V29&gt;0,1,0)</f>
        <v>0</v>
      </c>
      <c r="AM29">
        <f>IF(AL29=1,1,IF(AR27=AQ27,1,0))</f>
        <v>0</v>
      </c>
      <c r="AU29" s="141">
        <f>LEN(V29)</f>
        <v>0</v>
      </c>
    </row>
    <row r="30" spans="1:47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18" t="str">
        <f>IF(AM29=0,AO30&amp;" "&amp;AM28,"")</f>
        <v>Potrebno je upisati ime i prezime 1. nadređenog službenika iznad neposredno nadređenog službenika ↑</v>
      </c>
      <c r="AJ30" s="18"/>
      <c r="AK30" s="18"/>
      <c r="AO30" t="s">
        <v>186</v>
      </c>
    </row>
    <row r="31" spans="1:47" ht="7.5" customHeight="1" x14ac:dyDescent="0.25"/>
    <row r="32" spans="1:47" x14ac:dyDescent="0.25">
      <c r="A32" s="2"/>
      <c r="G32" s="273" t="s">
        <v>168</v>
      </c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</row>
    <row r="33" spans="1:47" x14ac:dyDescent="0.25"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</row>
    <row r="34" spans="1:47" x14ac:dyDescent="0.25">
      <c r="A34" s="2" t="s">
        <v>114</v>
      </c>
      <c r="G34" s="174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6"/>
      <c r="AL34" s="2">
        <f>IF(G34&gt;0,1,0)</f>
        <v>0</v>
      </c>
      <c r="AM34">
        <f>IF(AL34=1,1,IF(AR52=AQ52,1,0))</f>
        <v>1</v>
      </c>
      <c r="AO34">
        <f>IF(AL34+AR37+AM44+AL50+AL54=0,4,0)</f>
        <v>4</v>
      </c>
      <c r="AU34" s="138">
        <f>LEN(G34)</f>
        <v>0</v>
      </c>
    </row>
    <row r="35" spans="1:47" x14ac:dyDescent="0.25">
      <c r="A35" s="2"/>
      <c r="G35" s="180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2"/>
    </row>
    <row r="36" spans="1:47" ht="9" customHeight="1" x14ac:dyDescent="0.25">
      <c r="C36" s="54"/>
    </row>
    <row r="37" spans="1:47" x14ac:dyDescent="0.25">
      <c r="A37" t="s">
        <v>106</v>
      </c>
      <c r="C37" s="91"/>
      <c r="D37" s="54"/>
      <c r="E37" s="54" t="s">
        <v>108</v>
      </c>
      <c r="L37" s="271" t="str">
        <f>IF(AM37+AM39=2,AP39,IF(AO37=0,AP41,""))</f>
        <v/>
      </c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M37">
        <f>IF(C37&gt;0,1,0)</f>
        <v>0</v>
      </c>
      <c r="AO37">
        <f>IF(AM37+AM39=1,1,IF(AR52=AQ52,1,0))</f>
        <v>1</v>
      </c>
      <c r="AR37">
        <f>AM37+AM39</f>
        <v>0</v>
      </c>
      <c r="AU37" s="138">
        <f>IF(AM37=1,LEN(E37),LEN(E39))</f>
        <v>13</v>
      </c>
    </row>
    <row r="38" spans="1:47" ht="4.5" customHeight="1" x14ac:dyDescent="0.25">
      <c r="C38" s="56"/>
      <c r="D38" s="62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  <c r="AF38" s="271"/>
      <c r="AG38" s="271"/>
      <c r="AH38" s="271"/>
      <c r="AI38" s="271"/>
      <c r="AJ38" s="271"/>
      <c r="AK38" s="271"/>
    </row>
    <row r="39" spans="1:47" x14ac:dyDescent="0.25">
      <c r="A39" t="s">
        <v>107</v>
      </c>
      <c r="C39" s="91"/>
      <c r="D39" s="54"/>
      <c r="E39" s="54" t="s">
        <v>109</v>
      </c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M39">
        <f>IF(C39&gt;0,1,0)</f>
        <v>0</v>
      </c>
      <c r="AP39" t="s">
        <v>161</v>
      </c>
    </row>
    <row r="40" spans="1:47" ht="9" customHeight="1" x14ac:dyDescent="0.25">
      <c r="C40" s="62"/>
    </row>
    <row r="41" spans="1:47" x14ac:dyDescent="0.25">
      <c r="A41" s="2" t="s">
        <v>113</v>
      </c>
      <c r="P41" s="70" t="str">
        <f>IF(AM39=1,IF(AM44&lt;1,AO42&amp;" "&amp;AP42&amp;" "&amp;AO42,""),"")</f>
        <v/>
      </c>
      <c r="AP41" t="s">
        <v>162</v>
      </c>
    </row>
    <row r="42" spans="1:47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6"/>
      <c r="AO42" t="s">
        <v>93</v>
      </c>
      <c r="AP42" t="s">
        <v>158</v>
      </c>
      <c r="AU42" s="138">
        <f>LEN(A42)</f>
        <v>0</v>
      </c>
    </row>
    <row r="43" spans="1:47" x14ac:dyDescent="0.25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9"/>
    </row>
    <row r="44" spans="1:47" x14ac:dyDescent="0.25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9"/>
      <c r="AM44">
        <f>IF(A42&gt;0,1,0)</f>
        <v>0</v>
      </c>
      <c r="AR44" s="2">
        <f>IF(AM39=0,1,IF(AM39+AM44=2,1,0))</f>
        <v>1</v>
      </c>
    </row>
    <row r="45" spans="1:47" x14ac:dyDescent="0.25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9"/>
    </row>
    <row r="46" spans="1:47" x14ac:dyDescent="0.25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9"/>
    </row>
    <row r="47" spans="1:47" x14ac:dyDescent="0.25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2"/>
    </row>
    <row r="48" spans="1:47" x14ac:dyDescent="0.25">
      <c r="A48" s="119" t="s">
        <v>110</v>
      </c>
    </row>
    <row r="49" spans="1:47" x14ac:dyDescent="0.25">
      <c r="A49" s="276" t="s">
        <v>172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O49" t="s">
        <v>187</v>
      </c>
    </row>
    <row r="50" spans="1:47" x14ac:dyDescent="0.25">
      <c r="A50" s="276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">
        <f>IF(E51&gt;0,1,0)</f>
        <v>0</v>
      </c>
      <c r="AM50">
        <f>IF(AR52=AQ52,1,0)</f>
        <v>1</v>
      </c>
      <c r="AN50">
        <f>IF(AM50=1,1,IF(AT50=1,1,0))</f>
        <v>1</v>
      </c>
      <c r="AO50" s="97">
        <f>'List 4.'!C94</f>
        <v>0</v>
      </c>
      <c r="AQ50">
        <f>AO50-E51</f>
        <v>0</v>
      </c>
      <c r="AR50">
        <f>IFERROR(AQ50,"greška")</f>
        <v>0</v>
      </c>
      <c r="AS50">
        <f>IF(E51&lt;AO50,0,1)</f>
        <v>1</v>
      </c>
      <c r="AT50" s="128">
        <f>IF(AR50="greška",0,IF(AL50=1,IF(AS50=1,1,0),0))</f>
        <v>0</v>
      </c>
    </row>
    <row r="51" spans="1:47" x14ac:dyDescent="0.25">
      <c r="B51" s="54" t="s">
        <v>63</v>
      </c>
      <c r="E51" s="208"/>
      <c r="F51" s="208"/>
      <c r="G51" s="208"/>
      <c r="H51" s="208"/>
      <c r="I51" s="208"/>
      <c r="J51" s="208"/>
      <c r="W51" s="151" t="s">
        <v>115</v>
      </c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R51" t="s">
        <v>154</v>
      </c>
      <c r="AU51" s="141">
        <f>LEN(E51)*E51</f>
        <v>0</v>
      </c>
    </row>
    <row r="52" spans="1:47" ht="12.75" customHeight="1" x14ac:dyDescent="0.25">
      <c r="E52" s="70" t="str">
        <f>IF(AM50=1,"",IF(AR52=AQ52,"",IF(AL50=0,AL24,IF(AR50="greška",AP24,IF(AS50=0,AR24,"")))))</f>
        <v/>
      </c>
      <c r="AO52" t="s">
        <v>153</v>
      </c>
      <c r="AQ52">
        <v>5</v>
      </c>
      <c r="AR52">
        <f>AT50+AR37+AL34+AO34+AR44+AL54</f>
        <v>5</v>
      </c>
    </row>
    <row r="53" spans="1:47" ht="12.75" customHeight="1" x14ac:dyDescent="0.25">
      <c r="A53" s="190" t="str">
        <f>IF(AM54=0,AO49&amp;" "&amp;AM55,"")</f>
        <v/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M53" s="52" t="s">
        <v>86</v>
      </c>
      <c r="AO53" t="s">
        <v>151</v>
      </c>
    </row>
    <row r="54" spans="1:47" x14ac:dyDescent="0.25">
      <c r="A54" s="190"/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L54">
        <f>IF(V54&gt;0,1,0)</f>
        <v>0</v>
      </c>
      <c r="AM54">
        <f>IF(AL54=1,1,IF(AR52=AQ52,1,0))</f>
        <v>1</v>
      </c>
      <c r="AO54" t="s">
        <v>164</v>
      </c>
      <c r="AQ54">
        <f>AQ52+AQ27</f>
        <v>11</v>
      </c>
      <c r="AR54">
        <f>AR52+AR27</f>
        <v>10</v>
      </c>
      <c r="AU54" s="141">
        <f>LEN(V54)</f>
        <v>0</v>
      </c>
    </row>
    <row r="55" spans="1:47" x14ac:dyDescent="0.25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M55" s="52" t="s">
        <v>160</v>
      </c>
      <c r="AO55" t="s">
        <v>197</v>
      </c>
    </row>
    <row r="57" spans="1:47" x14ac:dyDescent="0.25">
      <c r="A57" s="2"/>
      <c r="G57" s="273" t="s">
        <v>188</v>
      </c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</row>
    <row r="58" spans="1:47" x14ac:dyDescent="0.25"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</row>
    <row r="59" spans="1:47" x14ac:dyDescent="0.25">
      <c r="A59" s="2" t="s">
        <v>114</v>
      </c>
      <c r="G59" s="174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L59" s="2">
        <f>IF(G59&gt;0,1,0)</f>
        <v>0</v>
      </c>
      <c r="AM59">
        <f>IF(AL59=1,1,IF(AR77=AQ77,1,0))</f>
        <v>1</v>
      </c>
      <c r="AO59">
        <f>IF(AL59+AR62+AM69+AL75+AL79=0,4,0)</f>
        <v>4</v>
      </c>
      <c r="AU59" s="138">
        <f>LEN(G59)</f>
        <v>0</v>
      </c>
    </row>
    <row r="60" spans="1:47" x14ac:dyDescent="0.25">
      <c r="A60" s="2"/>
      <c r="G60" s="180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2"/>
    </row>
    <row r="61" spans="1:47" ht="9" customHeight="1" x14ac:dyDescent="0.25">
      <c r="C61" s="54"/>
    </row>
    <row r="62" spans="1:47" x14ac:dyDescent="0.25">
      <c r="A62" t="s">
        <v>106</v>
      </c>
      <c r="C62" s="91"/>
      <c r="D62" s="54"/>
      <c r="E62" s="54" t="s">
        <v>108</v>
      </c>
      <c r="L62" s="271" t="str">
        <f>IF(AM62+AM64=2,AP64,IF(AO62=0,AP66,""))</f>
        <v/>
      </c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M62">
        <f>IF(C62&gt;0,1,0)</f>
        <v>0</v>
      </c>
      <c r="AO62">
        <f>IF(AM62+AM64=1,1,IF(AR77=AQ77,1,0))</f>
        <v>1</v>
      </c>
      <c r="AR62">
        <f>AM62+AM64</f>
        <v>0</v>
      </c>
      <c r="AU62" s="138">
        <f>IF(AM62=1,LEN(E62),LEN(E64))</f>
        <v>13</v>
      </c>
    </row>
    <row r="63" spans="1:47" ht="4.5" customHeight="1" x14ac:dyDescent="0.25">
      <c r="C63" s="56"/>
      <c r="D63" s="62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</row>
    <row r="64" spans="1:47" x14ac:dyDescent="0.25">
      <c r="A64" t="s">
        <v>107</v>
      </c>
      <c r="C64" s="91"/>
      <c r="D64" s="54"/>
      <c r="E64" s="54" t="s">
        <v>109</v>
      </c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M64">
        <f>IF(C64&gt;0,1,0)</f>
        <v>0</v>
      </c>
      <c r="AP64" t="s">
        <v>161</v>
      </c>
    </row>
    <row r="65" spans="1:47" ht="9" customHeight="1" x14ac:dyDescent="0.25">
      <c r="C65" s="62"/>
    </row>
    <row r="66" spans="1:47" x14ac:dyDescent="0.25">
      <c r="A66" s="2" t="s">
        <v>113</v>
      </c>
      <c r="P66" s="70" t="str">
        <f>IF(AM64=1,IF(AM69&lt;1,AO67&amp;" "&amp;AP67&amp;" "&amp;AO67,""),"")</f>
        <v/>
      </c>
      <c r="AP66" t="s">
        <v>162</v>
      </c>
    </row>
    <row r="67" spans="1:47" x14ac:dyDescent="0.25">
      <c r="A67" s="174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6"/>
      <c r="AO67" t="s">
        <v>93</v>
      </c>
      <c r="AP67" t="s">
        <v>158</v>
      </c>
      <c r="AU67" s="138">
        <f>LEN(A67)</f>
        <v>0</v>
      </c>
    </row>
    <row r="68" spans="1:47" x14ac:dyDescent="0.25">
      <c r="A68" s="177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9"/>
    </row>
    <row r="69" spans="1:47" x14ac:dyDescent="0.25">
      <c r="A69" s="177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9"/>
      <c r="AM69">
        <f>IF(A67&gt;0,1,0)</f>
        <v>0</v>
      </c>
      <c r="AR69" s="2">
        <f>IF(AM64=0,1,IF(AM64+AM69=2,1,0))</f>
        <v>1</v>
      </c>
    </row>
    <row r="70" spans="1:47" x14ac:dyDescent="0.25">
      <c r="A70" s="177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9"/>
    </row>
    <row r="71" spans="1:47" x14ac:dyDescent="0.25">
      <c r="A71" s="177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9"/>
    </row>
    <row r="72" spans="1:47" x14ac:dyDescent="0.25">
      <c r="A72" s="180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2"/>
    </row>
    <row r="73" spans="1:47" x14ac:dyDescent="0.25">
      <c r="A73" s="119" t="s">
        <v>110</v>
      </c>
    </row>
    <row r="74" spans="1:47" x14ac:dyDescent="0.25">
      <c r="A74" s="276" t="s">
        <v>172</v>
      </c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</row>
    <row r="75" spans="1:47" x14ac:dyDescent="0.25">
      <c r="A75" s="276"/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">
        <f>IF(E76&gt;0,1,0)</f>
        <v>0</v>
      </c>
      <c r="AM75">
        <f>IF(AR77=AQ77,1,0)</f>
        <v>1</v>
      </c>
      <c r="AN75">
        <f>IF(AM75=1,1,IF(AT75=1,1,0))</f>
        <v>1</v>
      </c>
      <c r="AO75" s="97">
        <f>'List 4.'!C94</f>
        <v>0</v>
      </c>
      <c r="AQ75">
        <f>AO75-E76</f>
        <v>0</v>
      </c>
      <c r="AR75">
        <f>IFERROR(AQ75,"greška")</f>
        <v>0</v>
      </c>
      <c r="AS75">
        <f>IF(E76&lt;AO75,0,1)</f>
        <v>1</v>
      </c>
      <c r="AT75" s="128">
        <f>IF(AR75="greška",0,IF(AL75=1,IF(AS75=1,1,0),0))</f>
        <v>0</v>
      </c>
    </row>
    <row r="76" spans="1:47" x14ac:dyDescent="0.25">
      <c r="B76" s="54" t="s">
        <v>63</v>
      </c>
      <c r="E76" s="208"/>
      <c r="F76" s="208"/>
      <c r="G76" s="208"/>
      <c r="H76" s="208"/>
      <c r="I76" s="208"/>
      <c r="J76" s="208"/>
      <c r="W76" s="151" t="s">
        <v>115</v>
      </c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R76" t="s">
        <v>154</v>
      </c>
      <c r="AU76" s="141">
        <f>LEN(E76)*E76</f>
        <v>0</v>
      </c>
    </row>
    <row r="77" spans="1:47" ht="12.75" customHeight="1" x14ac:dyDescent="0.25">
      <c r="E77" s="70" t="str">
        <f>IF(AM75=1,"",IF(AR77=AQ77,"",IF(AL75=0,AL24,IF(AR75="greška",AP24,IF(AS75=0,AR24,"")))))</f>
        <v/>
      </c>
      <c r="AO77" t="s">
        <v>153</v>
      </c>
      <c r="AQ77">
        <v>5</v>
      </c>
      <c r="AR77">
        <f>AT75+AR62+AL59+AO59+AR69+AL79</f>
        <v>5</v>
      </c>
    </row>
    <row r="78" spans="1:47" ht="12.75" customHeight="1" x14ac:dyDescent="0.25"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M78" s="52" t="s">
        <v>86</v>
      </c>
      <c r="AO78" t="s">
        <v>151</v>
      </c>
    </row>
    <row r="79" spans="1:47" x14ac:dyDescent="0.25"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L79">
        <f>IF(V79&gt;0,1,0)</f>
        <v>0</v>
      </c>
      <c r="AM79">
        <f>IF(AL79=1,1,IF(AR77=AQ77,1,0))</f>
        <v>1</v>
      </c>
      <c r="AU79" s="141">
        <f>LEN(V79)</f>
        <v>0</v>
      </c>
    </row>
    <row r="80" spans="1:47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18" t="str">
        <f>IF(AM79=0,AO80&amp;" "&amp;AM78,"")</f>
        <v/>
      </c>
      <c r="AJ80" s="18"/>
      <c r="AK80" s="18"/>
      <c r="AO80" t="s">
        <v>189</v>
      </c>
    </row>
    <row r="81" spans="1:47" ht="7.5" customHeight="1" x14ac:dyDescent="0.25"/>
    <row r="82" spans="1:47" x14ac:dyDescent="0.25">
      <c r="A82" s="2"/>
      <c r="G82" s="273" t="s">
        <v>194</v>
      </c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</row>
    <row r="83" spans="1:47" x14ac:dyDescent="0.25"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I83" s="274"/>
      <c r="AJ83" s="274"/>
    </row>
    <row r="84" spans="1:47" x14ac:dyDescent="0.25">
      <c r="A84" s="2" t="s">
        <v>114</v>
      </c>
      <c r="G84" s="174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6"/>
      <c r="AL84" s="2">
        <f>IF(G84&gt;0,1,0)</f>
        <v>0</v>
      </c>
      <c r="AM84">
        <f>IF(AL84=1,1,IF(AR102=AQ102,1,0))</f>
        <v>1</v>
      </c>
      <c r="AO84">
        <f>IF(AL84+AR87+AM94+AL100+AL104=0,4,0)</f>
        <v>4</v>
      </c>
      <c r="AU84" s="138">
        <f>LEN(G84)</f>
        <v>0</v>
      </c>
    </row>
    <row r="85" spans="1:47" x14ac:dyDescent="0.25">
      <c r="A85" s="2"/>
      <c r="G85" s="180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2"/>
    </row>
    <row r="86" spans="1:47" ht="9" customHeight="1" x14ac:dyDescent="0.25">
      <c r="C86" s="54"/>
    </row>
    <row r="87" spans="1:47" x14ac:dyDescent="0.25">
      <c r="A87" t="s">
        <v>106</v>
      </c>
      <c r="C87" s="91"/>
      <c r="D87" s="54"/>
      <c r="E87" s="54" t="s">
        <v>108</v>
      </c>
      <c r="L87" s="271" t="str">
        <f>IF(AM87+AM89=2,AP89,IF(AO87=0,AP91,""))</f>
        <v/>
      </c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F87" s="271"/>
      <c r="AG87" s="271"/>
      <c r="AH87" s="271"/>
      <c r="AI87" s="271"/>
      <c r="AJ87" s="271"/>
      <c r="AK87" s="271"/>
      <c r="AM87">
        <f>IF(C87&gt;0,1,0)</f>
        <v>0</v>
      </c>
      <c r="AO87">
        <f>IF(AM87+AM89=1,1,IF(AR102=AQ102,1,0))</f>
        <v>1</v>
      </c>
      <c r="AR87">
        <f>AM87+AM89</f>
        <v>0</v>
      </c>
      <c r="AU87" s="138">
        <f>IF(AM87=1,LEN(E87),LEN(E89))</f>
        <v>13</v>
      </c>
    </row>
    <row r="88" spans="1:47" ht="4.5" customHeight="1" x14ac:dyDescent="0.25">
      <c r="C88" s="56"/>
      <c r="D88" s="62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  <c r="AK88" s="271"/>
    </row>
    <row r="89" spans="1:47" x14ac:dyDescent="0.25">
      <c r="A89" t="s">
        <v>107</v>
      </c>
      <c r="C89" s="91"/>
      <c r="D89" s="54"/>
      <c r="E89" s="54" t="s">
        <v>109</v>
      </c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  <c r="AK89" s="271"/>
      <c r="AM89">
        <f>IF(C89&gt;0,1,0)</f>
        <v>0</v>
      </c>
      <c r="AP89" t="s">
        <v>161</v>
      </c>
    </row>
    <row r="90" spans="1:47" ht="9" customHeight="1" x14ac:dyDescent="0.25">
      <c r="C90" s="62"/>
    </row>
    <row r="91" spans="1:47" x14ac:dyDescent="0.25">
      <c r="A91" s="2" t="s">
        <v>113</v>
      </c>
      <c r="P91" s="70" t="str">
        <f>IF(AM89=1,IF(AM94&lt;1,AO92&amp;" "&amp;AP92&amp;" "&amp;AO92,""),"")</f>
        <v/>
      </c>
      <c r="AP91" t="s">
        <v>162</v>
      </c>
    </row>
    <row r="92" spans="1:47" x14ac:dyDescent="0.25">
      <c r="A92" s="174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6"/>
      <c r="AO92" t="s">
        <v>93</v>
      </c>
      <c r="AP92" t="s">
        <v>158</v>
      </c>
      <c r="AU92" s="138">
        <f>LEN(A92)</f>
        <v>0</v>
      </c>
    </row>
    <row r="93" spans="1:47" x14ac:dyDescent="0.25">
      <c r="A93" s="177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9"/>
    </row>
    <row r="94" spans="1:47" x14ac:dyDescent="0.25">
      <c r="A94" s="177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9"/>
      <c r="AM94">
        <f>IF(A92&gt;0,1,0)</f>
        <v>0</v>
      </c>
      <c r="AR94" s="2">
        <f>IF(AM89=0,1,IF(AM89+AM94=2,1,0))</f>
        <v>1</v>
      </c>
    </row>
    <row r="95" spans="1:47" x14ac:dyDescent="0.25">
      <c r="A95" s="177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9"/>
    </row>
    <row r="96" spans="1:47" x14ac:dyDescent="0.25">
      <c r="A96" s="177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9"/>
    </row>
    <row r="97" spans="1:47" x14ac:dyDescent="0.25">
      <c r="A97" s="180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2"/>
    </row>
    <row r="98" spans="1:47" x14ac:dyDescent="0.25">
      <c r="A98" s="119" t="s">
        <v>110</v>
      </c>
    </row>
    <row r="99" spans="1:47" x14ac:dyDescent="0.25">
      <c r="A99" s="276" t="s">
        <v>172</v>
      </c>
      <c r="B99" s="276"/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  <c r="AJ99" s="276"/>
      <c r="AK99" s="276"/>
      <c r="AO99" t="s">
        <v>190</v>
      </c>
    </row>
    <row r="100" spans="1:47" x14ac:dyDescent="0.25">
      <c r="A100" s="276"/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I100" s="276"/>
      <c r="AJ100" s="276"/>
      <c r="AK100" s="276"/>
      <c r="AL100" s="2">
        <f>IF(E101&gt;0,1,0)</f>
        <v>0</v>
      </c>
      <c r="AM100">
        <f>IF(AR102=AQ102,1,0)</f>
        <v>1</v>
      </c>
      <c r="AN100">
        <f>IF(AM100=1,1,IF(AT100=1,1,0))</f>
        <v>1</v>
      </c>
      <c r="AO100" s="97">
        <f>'List 4.'!C94</f>
        <v>0</v>
      </c>
      <c r="AQ100">
        <f>AO100-E101</f>
        <v>0</v>
      </c>
      <c r="AR100">
        <f>IFERROR(AQ100,"greška")</f>
        <v>0</v>
      </c>
      <c r="AS100">
        <f>IF(E101&lt;AO100,0,1)</f>
        <v>1</v>
      </c>
      <c r="AT100" s="128">
        <f>IF(AR100="greška",0,IF(AL100=1,IF(AS100=1,1,0),0))</f>
        <v>0</v>
      </c>
    </row>
    <row r="101" spans="1:47" x14ac:dyDescent="0.25">
      <c r="B101" s="54" t="s">
        <v>63</v>
      </c>
      <c r="E101" s="208"/>
      <c r="F101" s="208"/>
      <c r="G101" s="208"/>
      <c r="H101" s="208"/>
      <c r="I101" s="208"/>
      <c r="J101" s="208"/>
      <c r="W101" s="151" t="s">
        <v>115</v>
      </c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R101" t="s">
        <v>154</v>
      </c>
      <c r="AU101" s="141">
        <f>LEN(E101)*E101</f>
        <v>0</v>
      </c>
    </row>
    <row r="102" spans="1:47" ht="12.75" customHeight="1" x14ac:dyDescent="0.25">
      <c r="E102" s="70" t="str">
        <f>IF(AM100=1,"",IF(AR102=AQ102,"",IF(AL100=0,AL24,IF(AR100="greška",AP24,IF(AS100=0,AR24,"")))))</f>
        <v/>
      </c>
      <c r="AO102" t="s">
        <v>153</v>
      </c>
      <c r="AQ102">
        <v>5</v>
      </c>
      <c r="AR102">
        <f>AT100+AR87+AL84+AO84+AR94+AL104</f>
        <v>5</v>
      </c>
    </row>
    <row r="103" spans="1:47" ht="12.75" customHeight="1" x14ac:dyDescent="0.25">
      <c r="A103" s="190" t="str">
        <f>IF(AM104=0,AO99&amp;" "&amp;AM105,"")</f>
        <v/>
      </c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M103" s="52" t="s">
        <v>86</v>
      </c>
      <c r="AO103" t="s">
        <v>151</v>
      </c>
    </row>
    <row r="104" spans="1:47" x14ac:dyDescent="0.25">
      <c r="A104" s="190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275"/>
      <c r="W104" s="275"/>
      <c r="X104" s="275"/>
      <c r="Y104" s="275"/>
      <c r="Z104" s="275"/>
      <c r="AA104" s="275"/>
      <c r="AB104" s="275"/>
      <c r="AC104" s="275"/>
      <c r="AD104" s="275"/>
      <c r="AE104" s="275"/>
      <c r="AF104" s="275"/>
      <c r="AG104" s="275"/>
      <c r="AH104" s="275"/>
      <c r="AI104" s="275"/>
      <c r="AL104">
        <f>IF(V104&gt;0,1,0)</f>
        <v>0</v>
      </c>
      <c r="AM104">
        <f>IF(AL104=1,1,IF(AR102=AQ102,1,0))</f>
        <v>1</v>
      </c>
      <c r="AO104" t="s">
        <v>164</v>
      </c>
      <c r="AQ104">
        <f>AQ102+AQ77+AQ54</f>
        <v>21</v>
      </c>
      <c r="AR104">
        <f>AR102+AR77+AR54</f>
        <v>20</v>
      </c>
      <c r="AU104" s="141">
        <f>LEN(V104)</f>
        <v>0</v>
      </c>
    </row>
    <row r="105" spans="1:47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AM105" s="52" t="s">
        <v>160</v>
      </c>
    </row>
    <row r="106" spans="1:47" x14ac:dyDescent="0.25">
      <c r="A106" s="127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</row>
    <row r="107" spans="1:47" x14ac:dyDescent="0.25">
      <c r="A107" s="127"/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</row>
    <row r="108" spans="1:47" x14ac:dyDescent="0.25">
      <c r="A108" s="151" t="str">
        <f>IF(AQ104=AR104,AO109&amp;TEXT(AU109,"0.000"),AO108)</f>
        <v>List 6. nije ispravno popunjen</v>
      </c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O108" t="s">
        <v>197</v>
      </c>
    </row>
    <row r="109" spans="1:47" x14ac:dyDescent="0.25">
      <c r="AO109" t="s">
        <v>234</v>
      </c>
      <c r="AU109" s="141">
        <f>AU104+AU101+AU92+AU87+AU84+AU79+AU76+AU67+AU62+AU59+AU54+AU51+AU42+AU37+AU34+AU29+AU26+AU17+AU12+AU9</f>
        <v>52</v>
      </c>
    </row>
  </sheetData>
  <sheetProtection algorithmName="SHA-512" hashValue="tr96bekKslgiMfLUIACnpGWAEeTGthdScftLq4zQeJbl9cV6AuhPVgGuHIr4CNDko7x2WzyzlTyqifMaz1yT6g==" saltValue="LHCxOOSvgKIBbwop/QF2mg==" spinCount="100000" sheet="1" objects="1" scenarios="1" selectLockedCells="1"/>
  <mergeCells count="37">
    <mergeCell ref="A103:U104"/>
    <mergeCell ref="V104:AI104"/>
    <mergeCell ref="A108:AK108"/>
    <mergeCell ref="L87:AK89"/>
    <mergeCell ref="A92:AK97"/>
    <mergeCell ref="A99:AK100"/>
    <mergeCell ref="E101:J101"/>
    <mergeCell ref="W101:AH101"/>
    <mergeCell ref="E76:J76"/>
    <mergeCell ref="W76:AH76"/>
    <mergeCell ref="V79:AI79"/>
    <mergeCell ref="G82:AJ83"/>
    <mergeCell ref="G84:AJ85"/>
    <mergeCell ref="G57:AJ58"/>
    <mergeCell ref="G59:AJ60"/>
    <mergeCell ref="L62:AK64"/>
    <mergeCell ref="A67:AK72"/>
    <mergeCell ref="A74:AK75"/>
    <mergeCell ref="A53:U54"/>
    <mergeCell ref="G7:AJ8"/>
    <mergeCell ref="A55:AK55"/>
    <mergeCell ref="G9:AJ10"/>
    <mergeCell ref="A17:AK22"/>
    <mergeCell ref="V54:AI54"/>
    <mergeCell ref="J2:AK3"/>
    <mergeCell ref="L12:AK14"/>
    <mergeCell ref="W26:AH26"/>
    <mergeCell ref="E26:J26"/>
    <mergeCell ref="E51:J51"/>
    <mergeCell ref="W51:AH51"/>
    <mergeCell ref="G32:AJ33"/>
    <mergeCell ref="G34:AJ35"/>
    <mergeCell ref="L37:AK39"/>
    <mergeCell ref="A42:AK47"/>
    <mergeCell ref="V29:AI29"/>
    <mergeCell ref="A24:AK25"/>
    <mergeCell ref="A49:AK50"/>
  </mergeCells>
  <conditionalFormatting sqref="A3">
    <cfRule type="containsText" dxfId="194" priority="81" operator="containsText" text="Osobni podaci iz Obrazca 1.A nisu popunjeni">
      <formula>NOT(ISERROR(SEARCH("Osobni podaci iz Obrazca 1.A nisu popunjeni",A3)))</formula>
    </cfRule>
  </conditionalFormatting>
  <conditionalFormatting sqref="A17:AK22">
    <cfRule type="cellIs" dxfId="193" priority="79" operator="lessThan">
      <formula>$AM$14</formula>
    </cfRule>
  </conditionalFormatting>
  <conditionalFormatting sqref="A42:AK47">
    <cfRule type="expression" dxfId="192" priority="30">
      <formula>$AR$44&lt;1</formula>
    </cfRule>
  </conditionalFormatting>
  <conditionalFormatting sqref="A55:AK55">
    <cfRule type="containsText" dxfId="191" priority="63" operator="containsText" text="ispravno">
      <formula>NOT(ISERROR(SEARCH("ispravno",A55)))</formula>
    </cfRule>
  </conditionalFormatting>
  <conditionalFormatting sqref="A67:AK72">
    <cfRule type="expression" dxfId="190" priority="26">
      <formula>$AR$69&lt;1</formula>
    </cfRule>
  </conditionalFormatting>
  <conditionalFormatting sqref="A92:AK97">
    <cfRule type="expression" dxfId="189" priority="13">
      <formula>$AR$94&lt;1</formula>
    </cfRule>
  </conditionalFormatting>
  <conditionalFormatting sqref="A108:AK108">
    <cfRule type="containsText" dxfId="188" priority="1" operator="containsText" text="kontrolni broj">
      <formula>NOT(ISERROR(SEARCH("kontrolni broj",A108)))</formula>
    </cfRule>
    <cfRule type="containsText" dxfId="187" priority="21" operator="containsText" text="ispravno">
      <formula>NOT(ISERROR(SEARCH("ispravno",A108)))</formula>
    </cfRule>
  </conditionalFormatting>
  <conditionalFormatting sqref="C12">
    <cfRule type="containsText" dxfId="186" priority="9" operator="containsText" text="x">
      <formula>NOT(ISERROR(SEARCH("x",C12)))</formula>
    </cfRule>
  </conditionalFormatting>
  <conditionalFormatting sqref="C14">
    <cfRule type="containsText" dxfId="185" priority="8" operator="containsText" text="x">
      <formula>NOT(ISERROR(SEARCH("x",C14)))</formula>
    </cfRule>
  </conditionalFormatting>
  <conditionalFormatting sqref="C37">
    <cfRule type="containsText" dxfId="184" priority="7" operator="containsText" text="x">
      <formula>NOT(ISERROR(SEARCH("x",C37)))</formula>
    </cfRule>
  </conditionalFormatting>
  <conditionalFormatting sqref="C39">
    <cfRule type="containsText" dxfId="183" priority="6" operator="containsText" text="x">
      <formula>NOT(ISERROR(SEARCH("x",C39)))</formula>
    </cfRule>
  </conditionalFormatting>
  <conditionalFormatting sqref="C62">
    <cfRule type="containsText" dxfId="182" priority="5" operator="containsText" text="x">
      <formula>NOT(ISERROR(SEARCH("x",C62)))</formula>
    </cfRule>
  </conditionalFormatting>
  <conditionalFormatting sqref="C64">
    <cfRule type="containsText" dxfId="181" priority="4" operator="containsText" text="x">
      <formula>NOT(ISERROR(SEARCH("x",C64)))</formula>
    </cfRule>
  </conditionalFormatting>
  <conditionalFormatting sqref="C87">
    <cfRule type="containsText" dxfId="180" priority="3" operator="containsText" text="x">
      <formula>NOT(ISERROR(SEARCH("x",C87)))</formula>
    </cfRule>
  </conditionalFormatting>
  <conditionalFormatting sqref="C89">
    <cfRule type="containsText" dxfId="179" priority="2" operator="containsText" text="x">
      <formula>NOT(ISERROR(SEARCH("x",C89)))</formula>
    </cfRule>
  </conditionalFormatting>
  <conditionalFormatting sqref="E12">
    <cfRule type="expression" dxfId="178" priority="69">
      <formula>$AM$12=1</formula>
    </cfRule>
  </conditionalFormatting>
  <conditionalFormatting sqref="E14">
    <cfRule type="expression" dxfId="177" priority="70">
      <formula>$AM$14=1</formula>
    </cfRule>
  </conditionalFormatting>
  <conditionalFormatting sqref="E37">
    <cfRule type="expression" dxfId="176" priority="34">
      <formula>$AM$37=1</formula>
    </cfRule>
  </conditionalFormatting>
  <conditionalFormatting sqref="E39">
    <cfRule type="expression" dxfId="175" priority="35">
      <formula>$AM$39=1</formula>
    </cfRule>
  </conditionalFormatting>
  <conditionalFormatting sqref="E62">
    <cfRule type="expression" dxfId="174" priority="22">
      <formula>$AM$62=1</formula>
    </cfRule>
  </conditionalFormatting>
  <conditionalFormatting sqref="E64">
    <cfRule type="expression" dxfId="173" priority="23">
      <formula>$AM$64=1</formula>
    </cfRule>
  </conditionalFormatting>
  <conditionalFormatting sqref="E87">
    <cfRule type="expression" dxfId="172" priority="15">
      <formula>$AM$87=1</formula>
    </cfRule>
  </conditionalFormatting>
  <conditionalFormatting sqref="E89">
    <cfRule type="expression" dxfId="171" priority="16">
      <formula>$AM$89=1</formula>
    </cfRule>
  </conditionalFormatting>
  <conditionalFormatting sqref="E26:J26">
    <cfRule type="expression" dxfId="170" priority="666">
      <formula>$AN$25&lt;1</formula>
    </cfRule>
  </conditionalFormatting>
  <conditionalFormatting sqref="E51:J51">
    <cfRule type="expression" dxfId="169" priority="667">
      <formula>$AN$50&lt;1</formula>
    </cfRule>
  </conditionalFormatting>
  <conditionalFormatting sqref="E76:J76">
    <cfRule type="expression" dxfId="168" priority="668">
      <formula>$AN$75&lt;1</formula>
    </cfRule>
  </conditionalFormatting>
  <conditionalFormatting sqref="E101:J101">
    <cfRule type="expression" dxfId="167" priority="669">
      <formula>$AN$100&lt;1</formula>
    </cfRule>
  </conditionalFormatting>
  <conditionalFormatting sqref="G9:AJ10">
    <cfRule type="expression" dxfId="166" priority="40">
      <formula>$AM$9&lt;1</formula>
    </cfRule>
  </conditionalFormatting>
  <conditionalFormatting sqref="G34:AJ35">
    <cfRule type="expression" dxfId="165" priority="31">
      <formula>$AM$34&lt;1</formula>
    </cfRule>
  </conditionalFormatting>
  <conditionalFormatting sqref="G59:AJ60">
    <cfRule type="expression" dxfId="164" priority="20">
      <formula>$AM$59&lt;1</formula>
    </cfRule>
  </conditionalFormatting>
  <conditionalFormatting sqref="G84:AJ85">
    <cfRule type="expression" dxfId="163" priority="14">
      <formula>$AM$84&lt;1</formula>
    </cfRule>
  </conditionalFormatting>
  <conditionalFormatting sqref="J2">
    <cfRule type="containsText" dxfId="162" priority="80" operator="containsText" text="osobni podaci">
      <formula>NOT(ISERROR(SEARCH("osobni podaci",J2)))</formula>
    </cfRule>
  </conditionalFormatting>
  <conditionalFormatting sqref="V29:AI29">
    <cfRule type="expression" dxfId="161" priority="28">
      <formula>$AM$29&lt;1</formula>
    </cfRule>
  </conditionalFormatting>
  <conditionalFormatting sqref="V54:AI54">
    <cfRule type="expression" dxfId="160" priority="27">
      <formula>$AM$54&lt;1</formula>
    </cfRule>
  </conditionalFormatting>
  <conditionalFormatting sqref="V79:AI79">
    <cfRule type="expression" dxfId="159" priority="11">
      <formula>$AM$79&lt;1</formula>
    </cfRule>
  </conditionalFormatting>
  <conditionalFormatting sqref="V104:AI104">
    <cfRule type="expression" dxfId="158" priority="10">
      <formula>$AM$104&lt;1</formula>
    </cfRule>
  </conditionalFormatting>
  <dataValidations count="5">
    <dataValidation type="textLength" operator="lessThan" allowBlank="1" showInputMessage="1" showErrorMessage="1" errorTitle="Duljina teksta" error="Maksimalan broj znakova s razmacima je 190" sqref="G9:AJ10 G34:AJ35 G59:AJ60 G84:AJ85" xr:uid="{E04961EB-C3A5-4DEE-82EE-6BDD6CAF3AD9}">
      <formula1>190</formula1>
    </dataValidation>
    <dataValidation type="textLength" operator="lessThan" allowBlank="1" showInputMessage="1" showErrorMessage="1" errorTitle="Duljina teksta" error="Maksimalan broj znakova s razmacima je 660" sqref="A42:AK47 A17:AK22 A92:AK97 A67:AK72" xr:uid="{D736BAFD-8CDF-4314-92EA-A4C31F1CB670}">
      <formula1>661</formula1>
    </dataValidation>
    <dataValidation type="textLength" operator="lessThan" allowBlank="1" showInputMessage="1" showErrorMessage="1" errorTitle="Ime i prezime" error="Maksimalan broj znakova s razmacima je 42" sqref="V29:AI29 V54:AI54 V79:AI79 V104:AI104" xr:uid="{659833D5-F0FA-4B7B-846B-44BEA8CC4E38}">
      <formula1>43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E26:J26 E51:J51 E76:J76 E101:J101" xr:uid="{3405D01C-078C-4009-9E88-724A4E381A9F}">
      <formula1>45291</formula1>
    </dataValidation>
    <dataValidation type="textLength" operator="equal" allowBlank="1" showInputMessage="1" showErrorMessage="1" error="Moguće je unijeti samo jedan znak. Odabrano polje potrebno je označiti slovom &quot;x&quot;" promptTitle="x" prompt="Odabrano polje potrebno je označiti slovom &quot;x&quot;" sqref="C12 C14 C37 C39 C62 C64 C87 C89" xr:uid="{A3E44B4C-A929-465D-BE0E-3001B3CFD122}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&amp;LIzvješće o učinkovitosti rada - &amp;"-,Podebljano"List 6.&amp;"-,Uobičajeno" - Mišljenja nadređenih službenika o prijedlogu ocjene (popunjavaju nadređeni službenici po hijerarhijskom redu, a polja se dodaju ovisno o broju nadređenih službenika)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F6A6-5484-4076-842E-A3ACE6CC9CA6}">
  <sheetPr codeName="List8"/>
  <dimension ref="A1:S97"/>
  <sheetViews>
    <sheetView showGridLines="0" showRowColHeaders="0" showRuler="0" view="pageLayout" zoomScaleNormal="100" workbookViewId="0">
      <selection activeCell="A63" sqref="A63:I70"/>
    </sheetView>
  </sheetViews>
  <sheetFormatPr defaultRowHeight="15" x14ac:dyDescent="0.25"/>
  <cols>
    <col min="1" max="1" width="3.28515625" customWidth="1"/>
    <col min="2" max="2" width="6.28515625" customWidth="1"/>
    <col min="3" max="3" width="17.28515625" customWidth="1"/>
    <col min="4" max="4" width="12.7109375" customWidth="1"/>
    <col min="5" max="5" width="12.42578125" customWidth="1"/>
    <col min="6" max="6" width="12.7109375" customWidth="1"/>
    <col min="7" max="7" width="12.140625" customWidth="1"/>
    <col min="8" max="8" width="10.5703125" style="24" customWidth="1"/>
    <col min="9" max="9" width="11.42578125" customWidth="1"/>
    <col min="10" max="10" width="9.140625" hidden="1" customWidth="1"/>
    <col min="11" max="11" width="12.28515625" hidden="1" customWidth="1"/>
    <col min="12" max="14" width="9.140625" hidden="1" customWidth="1"/>
    <col min="15" max="15" width="15.28515625" hidden="1" customWidth="1"/>
    <col min="16" max="16" width="9.140625" hidden="1" customWidth="1"/>
    <col min="17" max="17" width="9.140625" style="142" hidden="1" customWidth="1"/>
    <col min="18" max="19" width="9.140625" hidden="1" customWidth="1"/>
    <col min="20" max="23" width="9.140625" customWidth="1"/>
  </cols>
  <sheetData>
    <row r="1" spans="1:18" x14ac:dyDescent="0.25">
      <c r="A1" s="87" t="s">
        <v>74</v>
      </c>
      <c r="B1" s="73"/>
      <c r="C1" s="73"/>
      <c r="D1" s="191" t="str">
        <f>IF('List 1.'!J13+'List 1.'!J15+'List 1.'!J21&lt;3,'List 3.'!K4,K2)</f>
        <v>Osobni podaci nisu ispravno popunjeni</v>
      </c>
      <c r="E1" s="191"/>
      <c r="F1" s="191"/>
      <c r="G1" s="191"/>
      <c r="H1" s="191"/>
      <c r="I1" s="192"/>
      <c r="K1" t="str">
        <f>UPPER('List 1.'!B13&amp;" "&amp;'List 1.'!B15)</f>
        <v xml:space="preserve"> </v>
      </c>
      <c r="O1" s="2">
        <f>IF(D1=K3,0,1)</f>
        <v>0</v>
      </c>
      <c r="Q1" s="142" t="s">
        <v>228</v>
      </c>
    </row>
    <row r="2" spans="1:18" x14ac:dyDescent="0.25">
      <c r="A2" s="88"/>
      <c r="B2" s="89"/>
      <c r="C2" s="89"/>
      <c r="D2" s="193"/>
      <c r="E2" s="193"/>
      <c r="F2" s="193"/>
      <c r="G2" s="193"/>
      <c r="H2" s="193"/>
      <c r="I2" s="194"/>
      <c r="J2" s="2"/>
      <c r="K2" t="str">
        <f>K1&amp;", "&amp;'List 1.'!C21</f>
        <v xml:space="preserve"> , </v>
      </c>
      <c r="O2" s="52"/>
      <c r="P2" s="52"/>
    </row>
    <row r="3" spans="1:18" x14ac:dyDescent="0.25">
      <c r="A3" s="2"/>
      <c r="D3" s="49"/>
      <c r="E3" s="50"/>
      <c r="F3" s="58"/>
      <c r="G3" s="58"/>
      <c r="H3" s="58"/>
      <c r="K3" t="s">
        <v>150</v>
      </c>
      <c r="O3" s="52"/>
      <c r="P3" s="52"/>
    </row>
    <row r="4" spans="1:18" s="2" customFormat="1" x14ac:dyDescent="0.25">
      <c r="A4" s="2" t="s">
        <v>170</v>
      </c>
      <c r="B4" s="49"/>
      <c r="C4" s="49"/>
      <c r="D4" s="49"/>
      <c r="E4" s="49"/>
      <c r="F4" s="49"/>
      <c r="G4" s="57"/>
      <c r="H4" s="57"/>
      <c r="I4" s="57"/>
      <c r="Q4" s="146"/>
    </row>
    <row r="5" spans="1:18" s="2" customFormat="1" ht="15.75" thickBot="1" x14ac:dyDescent="0.3">
      <c r="A5" s="56"/>
      <c r="B5" s="49"/>
      <c r="C5" s="49"/>
      <c r="D5" s="49"/>
      <c r="E5" s="49"/>
      <c r="F5" s="49"/>
      <c r="G5" s="57"/>
      <c r="H5" s="57"/>
      <c r="I5" s="57"/>
      <c r="Q5" s="146"/>
    </row>
    <row r="6" spans="1:18" s="2" customFormat="1" ht="30" x14ac:dyDescent="0.25">
      <c r="A6" s="26" t="s">
        <v>0</v>
      </c>
      <c r="B6" s="27" t="s">
        <v>81</v>
      </c>
      <c r="C6" s="27"/>
      <c r="D6" s="98"/>
      <c r="E6" s="39" t="s">
        <v>32</v>
      </c>
      <c r="F6" s="99" t="s">
        <v>38</v>
      </c>
      <c r="G6" s="39" t="s">
        <v>29</v>
      </c>
      <c r="H6" s="40" t="s">
        <v>31</v>
      </c>
      <c r="I6" s="41" t="s">
        <v>30</v>
      </c>
      <c r="J6" s="2" t="s">
        <v>36</v>
      </c>
      <c r="K6" s="2" t="s">
        <v>51</v>
      </c>
      <c r="Q6" s="146"/>
    </row>
    <row r="7" spans="1:18" ht="15.75" thickBot="1" x14ac:dyDescent="0.3">
      <c r="A7" s="31" t="s">
        <v>50</v>
      </c>
      <c r="B7" s="32"/>
      <c r="C7" s="32"/>
      <c r="D7" s="32"/>
      <c r="E7" s="33">
        <f>COUNTA(G9:G16)*Podaci!B11</f>
        <v>160</v>
      </c>
      <c r="F7" s="100"/>
      <c r="G7" s="33">
        <f>SUM(G10:G16)</f>
        <v>0</v>
      </c>
      <c r="H7" s="45">
        <f>IF('List 1.'!K19=0,0,IF('List 1.'!K19=1,0.5,0.7))</f>
        <v>0</v>
      </c>
      <c r="I7" s="46">
        <f>IF('List 1.'!K19=0,0,ROUND(100/E7*G7*H7,2))</f>
        <v>0</v>
      </c>
      <c r="J7">
        <f>COUNTIF(G10:G16,Podaci!B14)</f>
        <v>0</v>
      </c>
      <c r="K7">
        <f>COUNTIF(G10:G16,0)</f>
        <v>4</v>
      </c>
      <c r="R7" s="2">
        <f>IF(K7=0,1,0)</f>
        <v>0</v>
      </c>
    </row>
    <row r="8" spans="1:18" ht="15.75" thickBot="1" x14ac:dyDescent="0.3">
      <c r="A8" s="101"/>
      <c r="F8" s="2"/>
      <c r="G8" s="102"/>
      <c r="H8" s="103"/>
      <c r="I8" s="2"/>
    </row>
    <row r="9" spans="1:18" ht="16.5" customHeight="1" thickTop="1" thickBot="1" x14ac:dyDescent="0.3">
      <c r="B9" s="4" t="s">
        <v>128</v>
      </c>
      <c r="C9" s="5"/>
      <c r="D9" s="6"/>
      <c r="E9" s="6"/>
      <c r="F9" s="53" t="str">
        <f>IF(F10=0,"↓","")</f>
        <v>↓</v>
      </c>
      <c r="G9" s="25"/>
    </row>
    <row r="10" spans="1:18" ht="90" customHeight="1" thickBot="1" x14ac:dyDescent="0.3">
      <c r="B10" s="211" t="s">
        <v>5</v>
      </c>
      <c r="C10" s="212"/>
      <c r="D10" s="212"/>
      <c r="E10" s="213"/>
      <c r="F10" s="48"/>
      <c r="G10" s="35">
        <f>IF(F10=$K$11,$L$11,IF(F10=$K$12,$L$12,IF(F10=$K$13,$L$13,IF(F10=$K$14,$L$14,0))))</f>
        <v>0</v>
      </c>
      <c r="H10" s="209" t="str">
        <f>IF(F10=0,"← Potrebno je odabrati ocjenu iz padajućeg izbornika","")</f>
        <v>← Potrebno je odabrati ocjenu iz padajućeg izbornika</v>
      </c>
      <c r="I10" s="210"/>
      <c r="K10" s="92" t="s">
        <v>44</v>
      </c>
      <c r="L10" s="92" t="s">
        <v>29</v>
      </c>
      <c r="Q10" s="141">
        <f>LEN(F10)*G10</f>
        <v>0</v>
      </c>
    </row>
    <row r="11" spans="1:18" ht="29.25" customHeight="1" thickTop="1" thickBot="1" x14ac:dyDescent="0.3">
      <c r="B11" s="218" t="s">
        <v>129</v>
      </c>
      <c r="C11" s="219"/>
      <c r="D11" s="219"/>
      <c r="E11" s="219"/>
      <c r="F11" s="53" t="str">
        <f>IF(F12=0,"↓","")</f>
        <v>↓</v>
      </c>
      <c r="G11" s="36"/>
      <c r="K11" s="94" t="s">
        <v>1</v>
      </c>
      <c r="L11" s="93">
        <v>40</v>
      </c>
    </row>
    <row r="12" spans="1:18" ht="75.75" customHeight="1" thickBot="1" x14ac:dyDescent="0.3">
      <c r="B12" s="211" t="s">
        <v>6</v>
      </c>
      <c r="C12" s="212"/>
      <c r="D12" s="212"/>
      <c r="E12" s="213"/>
      <c r="F12" s="48"/>
      <c r="G12" s="35">
        <f>IF(F12=$K$11,$L$11,IF(F12=$K$12,$L$12,IF(F12=$K$13,$L$13,IF(F12=$K$14,$L$14,0))))</f>
        <v>0</v>
      </c>
      <c r="H12" s="209" t="str">
        <f>IF(F12=0,"← Potrebno je odabrati ocjenu iz padajućeg izbornika","")</f>
        <v>← Potrebno je odabrati ocjenu iz padajućeg izbornika</v>
      </c>
      <c r="I12" s="210"/>
      <c r="K12" s="95" t="s">
        <v>2</v>
      </c>
      <c r="L12" s="93">
        <v>30</v>
      </c>
      <c r="Q12" s="141">
        <f>LEN(F12)*G12</f>
        <v>0</v>
      </c>
    </row>
    <row r="13" spans="1:18" ht="17.25" thickTop="1" thickBot="1" x14ac:dyDescent="0.3">
      <c r="B13" s="4" t="s">
        <v>130</v>
      </c>
      <c r="C13" s="5"/>
      <c r="D13" s="6"/>
      <c r="E13" s="6"/>
      <c r="F13" s="53" t="str">
        <f>IF(F14=0,"↓","")</f>
        <v>↓</v>
      </c>
      <c r="G13" s="36"/>
      <c r="K13" s="95" t="s">
        <v>3</v>
      </c>
      <c r="L13" s="93">
        <v>20</v>
      </c>
    </row>
    <row r="14" spans="1:18" ht="43.5" customHeight="1" thickBot="1" x14ac:dyDescent="0.3">
      <c r="B14" s="211" t="s">
        <v>7</v>
      </c>
      <c r="C14" s="212"/>
      <c r="D14" s="212"/>
      <c r="E14" s="213"/>
      <c r="F14" s="48"/>
      <c r="G14" s="35">
        <f>IF(F14=$K$11,$L$11,IF(F14=$K$12,$L$12,IF(F14=$K$13,$L$13,IF(F14=$K$14,$L$14,0))))</f>
        <v>0</v>
      </c>
      <c r="H14" s="209" t="str">
        <f>IF(F14=0,"← Potrebno je odabrati ocjenu iz padajućeg izbornika","")</f>
        <v>← Potrebno je odabrati ocjenu iz padajućeg izbornika</v>
      </c>
      <c r="I14" s="210"/>
      <c r="K14" s="94" t="s">
        <v>4</v>
      </c>
      <c r="L14" s="93">
        <v>10</v>
      </c>
      <c r="Q14" s="141">
        <f>LEN(F14)*G14</f>
        <v>0</v>
      </c>
    </row>
    <row r="15" spans="1:18" ht="18" customHeight="1" thickTop="1" thickBot="1" x14ac:dyDescent="0.3">
      <c r="B15" s="4" t="s">
        <v>238</v>
      </c>
      <c r="C15" s="5"/>
      <c r="D15" s="6"/>
      <c r="E15" s="6"/>
      <c r="F15" s="53" t="str">
        <f>IF(F16=0,"↓","")</f>
        <v>↓</v>
      </c>
      <c r="G15" s="36"/>
      <c r="K15" s="94" t="s">
        <v>42</v>
      </c>
      <c r="L15" s="93" t="s">
        <v>43</v>
      </c>
    </row>
    <row r="16" spans="1:18" ht="63" customHeight="1" thickBot="1" x14ac:dyDescent="0.3">
      <c r="B16" s="211" t="s">
        <v>239</v>
      </c>
      <c r="C16" s="212"/>
      <c r="D16" s="212"/>
      <c r="E16" s="213"/>
      <c r="F16" s="48"/>
      <c r="G16" s="35">
        <f>IF(F16=$K$11,$L$11,IF(F16=$K$12,$L$12,IF(F16=$K$13,$L$13,IF(F16=$K$14,$L$14,0))))</f>
        <v>0</v>
      </c>
      <c r="H16" s="209" t="str">
        <f>IF(F16=0,"← Potrebno je odabrati ocjenu iz padajućeg izbornika","")</f>
        <v>← Potrebno je odabrati ocjenu iz padajućeg izbornika</v>
      </c>
      <c r="I16" s="210"/>
      <c r="Q16" s="141">
        <f>LEN(F16)*G16</f>
        <v>0</v>
      </c>
    </row>
    <row r="17" spans="1:18" ht="15.75" thickTop="1" x14ac:dyDescent="0.25">
      <c r="F17" s="34"/>
      <c r="G17" s="34"/>
    </row>
    <row r="18" spans="1:18" x14ac:dyDescent="0.25">
      <c r="F18" s="34"/>
      <c r="G18" s="34"/>
    </row>
    <row r="19" spans="1:18" ht="15.75" thickBot="1" x14ac:dyDescent="0.3">
      <c r="F19" s="34"/>
      <c r="G19" s="34"/>
    </row>
    <row r="20" spans="1:18" s="43" customFormat="1" ht="30" x14ac:dyDescent="0.25">
      <c r="A20" s="26" t="s">
        <v>8</v>
      </c>
      <c r="B20" s="27" t="s">
        <v>9</v>
      </c>
      <c r="C20" s="27"/>
      <c r="D20" s="42"/>
      <c r="E20" s="39" t="s">
        <v>32</v>
      </c>
      <c r="F20" s="39" t="s">
        <v>38</v>
      </c>
      <c r="G20" s="39" t="s">
        <v>29</v>
      </c>
      <c r="H20" s="40" t="s">
        <v>31</v>
      </c>
      <c r="I20" s="41" t="s">
        <v>30</v>
      </c>
      <c r="J20" s="43" t="s">
        <v>36</v>
      </c>
      <c r="K20" s="43" t="s">
        <v>51</v>
      </c>
      <c r="Q20" s="147"/>
    </row>
    <row r="21" spans="1:18" ht="15.75" thickBot="1" x14ac:dyDescent="0.3">
      <c r="A21" s="31" t="s">
        <v>50</v>
      </c>
      <c r="B21" s="32"/>
      <c r="C21" s="32"/>
      <c r="D21" s="32"/>
      <c r="E21" s="33">
        <f>(COUNTIF(G23:G32,10)+COUNTIF(G23:G32,20)+COUNTIF(G23:G32,30)+COUNTIF(G23:G32,40))*Podaci!B11</f>
        <v>0</v>
      </c>
      <c r="F21" s="38"/>
      <c r="G21" s="38">
        <f>SUMIF(G23:G32,10)+SUMIF(G23:G32,20)+SUMIF(G23:G32,30)+SUMIF(G23:G32,40)</f>
        <v>0</v>
      </c>
      <c r="H21" s="45">
        <f>IF('List 1.'!K19=0,0,IF('List 1.'!K19=1,0.2,0.3))</f>
        <v>0</v>
      </c>
      <c r="I21" s="46">
        <f>IF(E21=0,0,ROUND(100/E21*G21*H21,2))</f>
        <v>0</v>
      </c>
      <c r="J21">
        <f>COUNTIF(G24:G32,Podaci!B14)</f>
        <v>0</v>
      </c>
      <c r="K21">
        <f>COUNTIF(G24:G32,0)</f>
        <v>5</v>
      </c>
      <c r="R21" s="2">
        <f>IF(K21=0,1,0)</f>
        <v>0</v>
      </c>
    </row>
    <row r="22" spans="1:18" ht="15.75" thickBot="1" x14ac:dyDescent="0.3">
      <c r="F22" s="34"/>
      <c r="G22" s="34"/>
    </row>
    <row r="23" spans="1:18" ht="32.25" customHeight="1" thickTop="1" thickBot="1" x14ac:dyDescent="0.3">
      <c r="B23" s="218" t="s">
        <v>131</v>
      </c>
      <c r="C23" s="219"/>
      <c r="D23" s="219"/>
      <c r="E23" s="219"/>
      <c r="F23" s="53" t="str">
        <f>IF(F24=0,"↓","")</f>
        <v>↓</v>
      </c>
      <c r="G23" s="36"/>
    </row>
    <row r="24" spans="1:18" ht="77.25" customHeight="1" thickBot="1" x14ac:dyDescent="0.3">
      <c r="B24" s="211" t="s">
        <v>10</v>
      </c>
      <c r="C24" s="212"/>
      <c r="D24" s="212"/>
      <c r="E24" s="213"/>
      <c r="F24" s="48"/>
      <c r="G24" s="37">
        <f>IF(F24=$K$11,$L$11,IF(F24=$K$12,$L$12,IF(F24=$K$13,$L$13,IF(F24=$K$14,$L$14,IF(F24=$K$15,$L$15,0)))))</f>
        <v>0</v>
      </c>
      <c r="H24" s="209" t="str">
        <f>IF(F24=0,"← Potrebno je odabrati ocjenu iz padajućeg izbornika","")</f>
        <v>← Potrebno je odabrati ocjenu iz padajućeg izbornika</v>
      </c>
      <c r="I24" s="210"/>
      <c r="Q24" s="141">
        <f>IF(F24="Nije primjenjivo",LEN(F24),LEN(F24)*G24)</f>
        <v>0</v>
      </c>
    </row>
    <row r="25" spans="1:18" ht="17.25" thickTop="1" thickBot="1" x14ac:dyDescent="0.3">
      <c r="B25" s="3" t="s">
        <v>132</v>
      </c>
      <c r="C25" s="7"/>
      <c r="D25" s="6"/>
      <c r="E25" s="6"/>
      <c r="F25" s="53" t="str">
        <f>IF(F26=0,"↓","")</f>
        <v>↓</v>
      </c>
      <c r="G25" s="36"/>
    </row>
    <row r="26" spans="1:18" ht="45" customHeight="1" thickBot="1" x14ac:dyDescent="0.3">
      <c r="B26" s="211" t="s">
        <v>11</v>
      </c>
      <c r="C26" s="212"/>
      <c r="D26" s="212"/>
      <c r="E26" s="213"/>
      <c r="F26" s="48"/>
      <c r="G26" s="37">
        <f>IF(F26=$K$11,$L$11,IF(F26=$K$12,$L$12,IF(F26=$K$13,$L$13,IF(F26=$K$14,$L$14,IF(F26=$K$15,$L$15,0)))))</f>
        <v>0</v>
      </c>
      <c r="H26" s="209" t="str">
        <f>IF(F26=0,"← Potrebno je odabrati ocjenu iz padajućeg izbornika","")</f>
        <v>← Potrebno je odabrati ocjenu iz padajućeg izbornika</v>
      </c>
      <c r="I26" s="210"/>
      <c r="Q26" s="141">
        <f>IF(F26="Nije primjenjivo",LEN(F26),LEN(F26)*G26)</f>
        <v>0</v>
      </c>
    </row>
    <row r="27" spans="1:18" ht="17.25" thickTop="1" thickBot="1" x14ac:dyDescent="0.3">
      <c r="B27" s="3" t="s">
        <v>133</v>
      </c>
      <c r="C27" s="7"/>
      <c r="D27" s="6"/>
      <c r="E27" s="6"/>
      <c r="F27" s="53" t="str">
        <f>IF(F28=0,"↓","")</f>
        <v>↓</v>
      </c>
      <c r="G27" s="36"/>
    </row>
    <row r="28" spans="1:18" ht="41.25" customHeight="1" thickBot="1" x14ac:dyDescent="0.3">
      <c r="B28" s="211" t="s">
        <v>12</v>
      </c>
      <c r="C28" s="212"/>
      <c r="D28" s="212"/>
      <c r="E28" s="213"/>
      <c r="F28" s="48"/>
      <c r="G28" s="37">
        <f>IF(F28=$K$11,$L$11,IF(F28=$K$12,$L$12,IF(F28=$K$13,$L$13,IF(F28=$K$14,$L$14,IF(F28=$K$15,$L$15,0)))))</f>
        <v>0</v>
      </c>
      <c r="H28" s="209" t="str">
        <f>IF(F28=0,"← Potrebno je odabrati ocjenu iz padajućeg izbornika","")</f>
        <v>← Potrebno je odabrati ocjenu iz padajućeg izbornika</v>
      </c>
      <c r="I28" s="210"/>
      <c r="Q28" s="141">
        <f>IF(F28="Nije primjenjivo",LEN(F28),LEN(F28)*G28)</f>
        <v>0</v>
      </c>
    </row>
    <row r="29" spans="1:18" ht="17.25" thickTop="1" thickBot="1" x14ac:dyDescent="0.3">
      <c r="B29" s="3" t="s">
        <v>134</v>
      </c>
      <c r="C29" s="7"/>
      <c r="D29" s="6"/>
      <c r="E29" s="6"/>
      <c r="F29" s="53" t="str">
        <f>IF(F30=0,"↓","")</f>
        <v>↓</v>
      </c>
      <c r="G29" s="36"/>
    </row>
    <row r="30" spans="1:18" ht="53.25" customHeight="1" thickBot="1" x14ac:dyDescent="0.3">
      <c r="B30" s="211" t="s">
        <v>13</v>
      </c>
      <c r="C30" s="212"/>
      <c r="D30" s="212"/>
      <c r="E30" s="213"/>
      <c r="F30" s="48"/>
      <c r="G30" s="37">
        <f>IF(F30=$K$11,$L$11,IF(F30=$K$12,$L$12,IF(F30=$K$13,$L$13,IF(F30=$K$14,$L$14,IF(F30=$K$15,$L$15,0)))))</f>
        <v>0</v>
      </c>
      <c r="H30" s="209" t="str">
        <f>IF(F30=0,"← Potrebno je odabrati ocjenu iz padajućeg izbornika","")</f>
        <v>← Potrebno je odabrati ocjenu iz padajućeg izbornika</v>
      </c>
      <c r="I30" s="210"/>
      <c r="Q30" s="141">
        <f>IF(F30="Nije primjenjivo",LEN(F30),LEN(F30)*G30)</f>
        <v>0</v>
      </c>
    </row>
    <row r="31" spans="1:18" ht="32.25" customHeight="1" thickTop="1" thickBot="1" x14ac:dyDescent="0.3">
      <c r="B31" s="218" t="s">
        <v>201</v>
      </c>
      <c r="C31" s="219"/>
      <c r="D31" s="219"/>
      <c r="E31" s="219"/>
      <c r="F31" s="53" t="str">
        <f>IF(F32=0,"↓","")</f>
        <v>↓</v>
      </c>
      <c r="G31" s="36"/>
    </row>
    <row r="32" spans="1:18" ht="60" customHeight="1" thickBot="1" x14ac:dyDescent="0.3">
      <c r="B32" s="211" t="s">
        <v>212</v>
      </c>
      <c r="C32" s="212"/>
      <c r="D32" s="212"/>
      <c r="E32" s="213"/>
      <c r="F32" s="48"/>
      <c r="G32" s="35">
        <f>IF(F32=$K$11,$L$11,IF(F32=$K$12,$L$12,IF(F32=$K$13,$L$13,IF(F32=$K$14,$L$14,0))))</f>
        <v>0</v>
      </c>
      <c r="H32" s="209" t="str">
        <f>IF(F32=0,"← Potrebno je odabrati ocjenu iz padajućeg izbornika","")</f>
        <v>← Potrebno je odabrati ocjenu iz padajućeg izbornika</v>
      </c>
      <c r="I32" s="210"/>
      <c r="Q32" s="141">
        <f>LEN(F32)*G32</f>
        <v>0</v>
      </c>
    </row>
    <row r="33" spans="1:18" ht="15.75" thickTop="1" x14ac:dyDescent="0.25">
      <c r="F33" s="34"/>
      <c r="G33" s="34"/>
    </row>
    <row r="34" spans="1:18" x14ac:dyDescent="0.25">
      <c r="F34" s="34"/>
      <c r="G34" s="34"/>
    </row>
    <row r="35" spans="1:18" ht="15.75" thickBot="1" x14ac:dyDescent="0.3">
      <c r="F35" s="34"/>
      <c r="G35" s="34"/>
    </row>
    <row r="36" spans="1:18" s="43" customFormat="1" ht="30" x14ac:dyDescent="0.25">
      <c r="A36" s="26" t="s">
        <v>48</v>
      </c>
      <c r="B36" s="251" t="s">
        <v>49</v>
      </c>
      <c r="C36" s="251"/>
      <c r="D36" s="251"/>
      <c r="E36" s="39" t="s">
        <v>32</v>
      </c>
      <c r="F36" s="39" t="s">
        <v>38</v>
      </c>
      <c r="G36" s="39" t="s">
        <v>29</v>
      </c>
      <c r="H36" s="40" t="s">
        <v>31</v>
      </c>
      <c r="I36" s="41" t="s">
        <v>30</v>
      </c>
      <c r="J36" s="43" t="s">
        <v>36</v>
      </c>
      <c r="K36" s="43" t="s">
        <v>51</v>
      </c>
      <c r="Q36" s="147"/>
    </row>
    <row r="37" spans="1:18" ht="15.75" thickBot="1" x14ac:dyDescent="0.3">
      <c r="A37" s="31" t="s">
        <v>50</v>
      </c>
      <c r="B37" s="32"/>
      <c r="C37" s="32"/>
      <c r="D37" s="32"/>
      <c r="E37" s="33">
        <f>(COUNTIF(G40:G48,Podaci!B14)+COUNTIF('List 7.'!G40:G48,Podaci!B13)+COUNTIF('List 7.'!G40:G48,Podaci!B12)+COUNTIF('List 7.'!G40:G48,Podaci!B11))*Podaci!B11</f>
        <v>0</v>
      </c>
      <c r="F37" s="38"/>
      <c r="G37" s="38">
        <f>SUM(G40:G48)</f>
        <v>0</v>
      </c>
      <c r="H37" s="45">
        <f>IF('List 1.'!K19=1,0.3,0)</f>
        <v>0</v>
      </c>
      <c r="I37" s="46">
        <f>IF(E37=0,0,ROUND(100/E37*G37*H37,2))</f>
        <v>0</v>
      </c>
      <c r="J37">
        <f>COUNTIF(G40:G48,Podaci!B14)</f>
        <v>0</v>
      </c>
      <c r="K37">
        <f>COUNTIF(G40:G48,0)+COUNTIF(K40:K48,1)</f>
        <v>5</v>
      </c>
      <c r="R37" s="2">
        <f>IF('List 1.'!K19=2,1,IF(K37=0,1,0))</f>
        <v>0</v>
      </c>
    </row>
    <row r="38" spans="1:18" ht="16.5" thickBot="1" x14ac:dyDescent="0.3">
      <c r="A38" s="47"/>
      <c r="B38" s="47"/>
      <c r="C38" s="47"/>
      <c r="D38" s="47"/>
      <c r="E38" s="47"/>
      <c r="F38" s="47"/>
      <c r="G38" s="47"/>
      <c r="H38" s="47"/>
      <c r="I38" s="47"/>
    </row>
    <row r="39" spans="1:18" ht="17.25" thickTop="1" thickBot="1" x14ac:dyDescent="0.3">
      <c r="B39" s="3" t="s">
        <v>135</v>
      </c>
      <c r="C39" s="7"/>
      <c r="D39" s="6"/>
      <c r="E39" s="6"/>
      <c r="F39" s="53" t="str">
        <f>IF('List 1.'!K19=2,"",IF(F40=0,"↓",IF(K40=1,"↓","")))</f>
        <v>↓</v>
      </c>
      <c r="G39" s="36"/>
    </row>
    <row r="40" spans="1:18" ht="75" customHeight="1" thickBot="1" x14ac:dyDescent="0.3">
      <c r="B40" s="211" t="s">
        <v>14</v>
      </c>
      <c r="C40" s="212"/>
      <c r="D40" s="212"/>
      <c r="E40" s="213"/>
      <c r="F40" s="48"/>
      <c r="G40" s="35">
        <f>IF('List 1.'!$K$19=2,0,IF(F40=$K$11,$L$11,IF(F40=$K$12,$L$12,IF(F40=$K$13,$L$13,IF(F40=$K$14,$L$14,0)))))</f>
        <v>0</v>
      </c>
      <c r="H40" s="209" t="str">
        <f>IF('List 1.'!K19=2,"",IF(F40=0,"← Potrebno je odabrati ocjenu iz padajućeg izbornika",IF(K40=1,"← Potrebno je odabrati ocjenu iz padajućeg izbornika","")))</f>
        <v>← Potrebno je odabrati ocjenu iz padajućeg izbornika</v>
      </c>
      <c r="I40" s="210"/>
      <c r="K40">
        <f>_xlfn.IFNA(G40,1)</f>
        <v>0</v>
      </c>
      <c r="Q40" s="141">
        <f>LEN(F40)*G40</f>
        <v>0</v>
      </c>
    </row>
    <row r="41" spans="1:18" ht="17.25" thickTop="1" thickBot="1" x14ac:dyDescent="0.3">
      <c r="B41" s="3" t="s">
        <v>136</v>
      </c>
      <c r="C41" s="7"/>
      <c r="D41" s="6"/>
      <c r="E41" s="6"/>
      <c r="F41" s="53" t="str">
        <f>IF('List 1.'!K19=2,"",IF(F42=0,"↓",IF(K42=1,"↓","")))</f>
        <v>↓</v>
      </c>
      <c r="G41" s="36"/>
    </row>
    <row r="42" spans="1:18" ht="78" customHeight="1" thickBot="1" x14ac:dyDescent="0.3">
      <c r="B42" s="211" t="s">
        <v>15</v>
      </c>
      <c r="C42" s="212"/>
      <c r="D42" s="212"/>
      <c r="E42" s="213"/>
      <c r="F42" s="48"/>
      <c r="G42" s="35">
        <f>IF('List 1.'!$K$19=2,0,IF(F42=$K$11,$L$11,IF(F42=$K$12,$L$12,IF(F42=$K$13,$L$13,IF(F42=$K$14,$L$14,0)))))</f>
        <v>0</v>
      </c>
      <c r="H42" s="209" t="str">
        <f>IF('List 1.'!K19=2,"",IF(F42=0,"← Potrebno je odabrati ocjenu iz padajućeg izbornika",IF(K42=1,"← Potrebno je odabrati ocjenu iz padajućeg izbornika","")))</f>
        <v>← Potrebno je odabrati ocjenu iz padajućeg izbornika</v>
      </c>
      <c r="I42" s="210"/>
      <c r="K42">
        <f>_xlfn.IFNA(G42,1)</f>
        <v>0</v>
      </c>
      <c r="Q42" s="141">
        <f>LEN(F42)*G42</f>
        <v>0</v>
      </c>
    </row>
    <row r="43" spans="1:18" ht="17.25" thickTop="1" thickBot="1" x14ac:dyDescent="0.3">
      <c r="B43" s="3" t="s">
        <v>137</v>
      </c>
      <c r="C43" s="7"/>
      <c r="D43" s="6"/>
      <c r="E43" s="6"/>
      <c r="F43" s="53" t="str">
        <f>IF('List 1.'!K19=2,"",IF(F44=0,"↓",IF(K44=1,"↓","")))</f>
        <v>↓</v>
      </c>
      <c r="G43" s="36"/>
    </row>
    <row r="44" spans="1:18" ht="93.75" customHeight="1" thickBot="1" x14ac:dyDescent="0.3">
      <c r="B44" s="211" t="s">
        <v>16</v>
      </c>
      <c r="C44" s="212"/>
      <c r="D44" s="212"/>
      <c r="E44" s="213"/>
      <c r="F44" s="48"/>
      <c r="G44" s="35">
        <f>IF('List 1.'!$K$19=2,0,IF(F44=$K$11,$L$11,IF(F44=$K$12,$L$12,IF(F44=$K$13,$L$13,IF(F44=$K$14,$L$14,0)))))</f>
        <v>0</v>
      </c>
      <c r="H44" s="209" t="str">
        <f>IF('List 1.'!K19=2,"",IF(F44=0,"← Potrebno je odabrati ocjenu iz padajućeg izbornika",IF(K44=1,"← Potrebno je odabrati ocjenu iz padajućeg izbornika","")))</f>
        <v>← Potrebno je odabrati ocjenu iz padajućeg izbornika</v>
      </c>
      <c r="I44" s="210"/>
      <c r="K44">
        <f>_xlfn.IFNA(G44,1)</f>
        <v>0</v>
      </c>
      <c r="Q44" s="141">
        <f>LEN(F44)*G44</f>
        <v>0</v>
      </c>
    </row>
    <row r="45" spans="1:18" ht="30.75" customHeight="1" thickTop="1" thickBot="1" x14ac:dyDescent="0.3">
      <c r="B45" s="218" t="s">
        <v>138</v>
      </c>
      <c r="C45" s="219"/>
      <c r="D45" s="219"/>
      <c r="E45" s="219"/>
      <c r="F45" s="53" t="str">
        <f>IF('List 1.'!K19=2,"",IF(F46=0,"↓",IF(K46=1,"↓","")))</f>
        <v>↓</v>
      </c>
      <c r="G45" s="36"/>
    </row>
    <row r="46" spans="1:18" ht="65.25" customHeight="1" thickBot="1" x14ac:dyDescent="0.3">
      <c r="B46" s="211" t="s">
        <v>17</v>
      </c>
      <c r="C46" s="212"/>
      <c r="D46" s="212"/>
      <c r="E46" s="213"/>
      <c r="F46" s="48"/>
      <c r="G46" s="35">
        <f>IF('List 1.'!$K$19=2,0,IF(F46=$K$11,$L$11,IF(F46=$K$12,$L$12,IF(F46=$K$13,$L$13,IF(F46=$K$14,$L$14,0)))))</f>
        <v>0</v>
      </c>
      <c r="H46" s="209" t="str">
        <f>IF('List 1.'!K19=2,"",IF(F46=0,"← Potrebno je odabrati ocjenu iz padajućeg izbornika",IF(K46=1,"← Potrebno je odabrati ocjenu iz padajućeg izbornika","")))</f>
        <v>← Potrebno je odabrati ocjenu iz padajućeg izbornika</v>
      </c>
      <c r="I46" s="210"/>
      <c r="K46">
        <f>_xlfn.IFNA(G46,1)</f>
        <v>0</v>
      </c>
      <c r="Q46" s="141">
        <f>LEN(F46)*G46</f>
        <v>0</v>
      </c>
    </row>
    <row r="47" spans="1:18" ht="30.75" customHeight="1" thickTop="1" thickBot="1" x14ac:dyDescent="0.3">
      <c r="B47" s="218" t="s">
        <v>240</v>
      </c>
      <c r="C47" s="219"/>
      <c r="D47" s="219"/>
      <c r="E47" s="219"/>
      <c r="F47" s="53" t="str">
        <f>IF('List 1.'!K19=2,"",IF(F48=0,"↓",IF(K48=1,"↓","")))</f>
        <v>↓</v>
      </c>
      <c r="G47" s="36"/>
    </row>
    <row r="48" spans="1:18" ht="98.25" customHeight="1" thickBot="1" x14ac:dyDescent="0.3">
      <c r="B48" s="211" t="s">
        <v>28</v>
      </c>
      <c r="C48" s="212"/>
      <c r="D48" s="212"/>
      <c r="E48" s="213"/>
      <c r="F48" s="48"/>
      <c r="G48" s="35">
        <f>IF('List 1.'!$K$19=2,0,IF(F48=$K$11,$L$11,IF(F48=$K$12,$L$12,IF(F48=$K$13,$L$13,IF(F48=$K$14,$L$14,0)))))</f>
        <v>0</v>
      </c>
      <c r="H48" s="209" t="str">
        <f>IF('List 1.'!K19=2,"",IF(F48=0,"← Potrebno je odabrati ocjenu iz padajućeg izbornika",IF(K48=1,"← Potrebno je odabrati ocjenu iz padajućeg izbornika","")))</f>
        <v>← Potrebno je odabrati ocjenu iz padajućeg izbornika</v>
      </c>
      <c r="I48" s="210"/>
      <c r="K48">
        <f>_xlfn.IFNA(G48,1)</f>
        <v>0</v>
      </c>
      <c r="Q48" s="141">
        <f>LEN(F48)*G48</f>
        <v>0</v>
      </c>
    </row>
    <row r="49" spans="1:18" ht="15.75" thickTop="1" x14ac:dyDescent="0.25">
      <c r="B49" s="1"/>
      <c r="G49" s="20"/>
    </row>
    <row r="50" spans="1:18" ht="15.75" thickBot="1" x14ac:dyDescent="0.3">
      <c r="B50" s="1"/>
      <c r="G50" s="20"/>
    </row>
    <row r="51" spans="1:18" ht="30" x14ac:dyDescent="0.25">
      <c r="D51" s="243"/>
      <c r="E51" s="244"/>
      <c r="F51" s="28" t="s">
        <v>32</v>
      </c>
      <c r="G51" s="28" t="s">
        <v>29</v>
      </c>
      <c r="H51" s="29"/>
      <c r="I51" s="30" t="s">
        <v>30</v>
      </c>
    </row>
    <row r="52" spans="1:18" ht="15.75" thickBot="1" x14ac:dyDescent="0.3">
      <c r="D52" s="245" t="s">
        <v>23</v>
      </c>
      <c r="E52" s="246"/>
      <c r="F52" s="33">
        <f>E37+E21+E7</f>
        <v>160</v>
      </c>
      <c r="G52" s="33">
        <f>IF('List 1.'!K19=1,G37+G21+G7,G21+G7)</f>
        <v>0</v>
      </c>
      <c r="H52" s="45"/>
      <c r="I52" s="46">
        <f>I37+I21+I7</f>
        <v>0</v>
      </c>
      <c r="Q52" s="141">
        <f>F52*G52*I52</f>
        <v>0</v>
      </c>
    </row>
    <row r="53" spans="1:18" ht="15.75" thickBot="1" x14ac:dyDescent="0.3">
      <c r="O53" s="21" t="s">
        <v>142</v>
      </c>
      <c r="P53" s="22">
        <v>40</v>
      </c>
    </row>
    <row r="54" spans="1:18" ht="15.75" customHeight="1" thickBot="1" x14ac:dyDescent="0.3">
      <c r="D54" s="249" t="s">
        <v>104</v>
      </c>
      <c r="E54" s="247"/>
      <c r="F54" s="250"/>
      <c r="G54" s="247" t="str">
        <f>IF('List 1.'!K19=0,"Osobni podaci nisu popunjeni",IF('List 1.'!K19=1,IF(K37+K21+K7&gt;0,"Obrazac nije ispravno popunjen",IF(I52=0,"",UPPER(Podaci!A53))),IF('List 1.'!K19=2,IF(K7+K21&gt;0,"Obrazac nije ispravno popunjen",IF(I52=0,"",UPPER(Podaci!A53))))))</f>
        <v>Osobni podaci nisu popunjeni</v>
      </c>
      <c r="H54" s="247"/>
      <c r="I54" s="248"/>
      <c r="M54">
        <f>IF(G54=O54,P54,IF(G54=O55,P55,IF(G54=O56,P56,IF(G54=O57,P57,0))))</f>
        <v>0</v>
      </c>
      <c r="O54" s="21" t="s">
        <v>139</v>
      </c>
      <c r="P54" s="22">
        <v>40</v>
      </c>
      <c r="Q54" s="141">
        <f>LEN(G54)</f>
        <v>28</v>
      </c>
    </row>
    <row r="55" spans="1:18" x14ac:dyDescent="0.25">
      <c r="O55" s="21" t="s">
        <v>145</v>
      </c>
      <c r="P55" s="22">
        <v>30</v>
      </c>
    </row>
    <row r="56" spans="1:18" x14ac:dyDescent="0.25">
      <c r="A56" s="2" t="s">
        <v>171</v>
      </c>
      <c r="O56" s="21" t="s">
        <v>144</v>
      </c>
      <c r="P56" s="22">
        <v>20</v>
      </c>
    </row>
    <row r="57" spans="1:18" x14ac:dyDescent="0.25">
      <c r="D57" s="241" t="s">
        <v>140</v>
      </c>
      <c r="E57" s="241"/>
      <c r="F57" s="241"/>
      <c r="G57" s="241"/>
      <c r="H57" s="241"/>
      <c r="I57" s="241"/>
      <c r="O57" s="21" t="s">
        <v>143</v>
      </c>
      <c r="P57" s="22">
        <v>10</v>
      </c>
    </row>
    <row r="58" spans="1:18" ht="15.75" thickBot="1" x14ac:dyDescent="0.3">
      <c r="D58" s="242"/>
      <c r="E58" s="242"/>
      <c r="F58" s="242"/>
      <c r="G58" s="242"/>
      <c r="H58" s="242"/>
      <c r="I58" s="242"/>
    </row>
    <row r="59" spans="1:18" ht="33" customHeight="1" thickBot="1" x14ac:dyDescent="0.3">
      <c r="D59" s="214" t="s">
        <v>121</v>
      </c>
      <c r="E59" s="215"/>
      <c r="F59" s="216"/>
      <c r="G59" s="216"/>
      <c r="H59" s="216"/>
      <c r="I59" s="217"/>
      <c r="J59" t="str">
        <f>G54</f>
        <v>Osobni podaci nisu popunjeni</v>
      </c>
      <c r="M59">
        <f>IF(F59=O53,P53,IF(F59=O54,P54,IF(F59=O55,P55,IF(F59=O56,P56,IF(F59=O57,P57,0)))))</f>
        <v>0</v>
      </c>
      <c r="Q59" s="141">
        <f>LEN(F59)</f>
        <v>0</v>
      </c>
      <c r="R59" s="2">
        <f>IF(M59=M54,1,0)</f>
        <v>1</v>
      </c>
    </row>
    <row r="60" spans="1:18" x14ac:dyDescent="0.25">
      <c r="F60" s="261" t="str">
        <f>IF(M54=M59,"",M60&amp;" "&amp;N60)</f>
        <v/>
      </c>
      <c r="G60" s="261"/>
      <c r="H60" s="261"/>
      <c r="I60" s="261"/>
      <c r="J60" t="str">
        <f>IF(J59="NAROČITO USPJEŠAN","IZVRSTAN","")</f>
        <v/>
      </c>
      <c r="M60" s="52" t="s">
        <v>86</v>
      </c>
      <c r="N60" t="s">
        <v>147</v>
      </c>
    </row>
    <row r="61" spans="1:18" x14ac:dyDescent="0.25">
      <c r="F61" s="278"/>
      <c r="G61" s="278"/>
      <c r="H61" s="278"/>
      <c r="I61" s="278"/>
    </row>
    <row r="62" spans="1:18" x14ac:dyDescent="0.25">
      <c r="A62" s="2" t="s">
        <v>141</v>
      </c>
    </row>
    <row r="63" spans="1:18" x14ac:dyDescent="0.25">
      <c r="A63" s="174"/>
      <c r="B63" s="175"/>
      <c r="C63" s="175"/>
      <c r="D63" s="175"/>
      <c r="E63" s="175"/>
      <c r="F63" s="175"/>
      <c r="G63" s="175"/>
      <c r="H63" s="175"/>
      <c r="I63" s="176"/>
      <c r="Q63" s="141">
        <f>LEN(A63)</f>
        <v>0</v>
      </c>
    </row>
    <row r="64" spans="1:18" x14ac:dyDescent="0.25">
      <c r="A64" s="177"/>
      <c r="B64" s="178"/>
      <c r="C64" s="178"/>
      <c r="D64" s="178"/>
      <c r="E64" s="178"/>
      <c r="F64" s="178"/>
      <c r="G64" s="178"/>
      <c r="H64" s="178"/>
      <c r="I64" s="179"/>
    </row>
    <row r="65" spans="1:18" x14ac:dyDescent="0.25">
      <c r="A65" s="177"/>
      <c r="B65" s="178"/>
      <c r="C65" s="178"/>
      <c r="D65" s="178"/>
      <c r="E65" s="178"/>
      <c r="F65" s="178"/>
      <c r="G65" s="178"/>
      <c r="H65" s="178"/>
      <c r="I65" s="179"/>
    </row>
    <row r="66" spans="1:18" x14ac:dyDescent="0.25">
      <c r="A66" s="177"/>
      <c r="B66" s="178"/>
      <c r="C66" s="178"/>
      <c r="D66" s="178"/>
      <c r="E66" s="178"/>
      <c r="F66" s="178"/>
      <c r="G66" s="178"/>
      <c r="H66" s="178"/>
      <c r="I66" s="179"/>
    </row>
    <row r="67" spans="1:18" x14ac:dyDescent="0.25">
      <c r="A67" s="177"/>
      <c r="B67" s="178"/>
      <c r="C67" s="178"/>
      <c r="D67" s="178"/>
      <c r="E67" s="178"/>
      <c r="F67" s="178"/>
      <c r="G67" s="178"/>
      <c r="H67" s="178"/>
      <c r="I67" s="179"/>
    </row>
    <row r="68" spans="1:18" x14ac:dyDescent="0.25">
      <c r="A68" s="177"/>
      <c r="B68" s="178"/>
      <c r="C68" s="178"/>
      <c r="D68" s="178"/>
      <c r="E68" s="178"/>
      <c r="F68" s="178"/>
      <c r="G68" s="178"/>
      <c r="H68" s="178"/>
      <c r="I68" s="179"/>
      <c r="O68">
        <f>IF(O69=0,2,(IF(A63&gt;0,1,0)))</f>
        <v>2</v>
      </c>
    </row>
    <row r="69" spans="1:18" x14ac:dyDescent="0.25">
      <c r="A69" s="177"/>
      <c r="B69" s="178"/>
      <c r="C69" s="178"/>
      <c r="D69" s="178"/>
      <c r="E69" s="178"/>
      <c r="F69" s="178"/>
      <c r="G69" s="178"/>
      <c r="H69" s="178"/>
      <c r="I69" s="179"/>
      <c r="O69">
        <f>IF(F59="IZVRSTAN",1,0)</f>
        <v>0</v>
      </c>
    </row>
    <row r="70" spans="1:18" x14ac:dyDescent="0.25">
      <c r="A70" s="180"/>
      <c r="B70" s="181"/>
      <c r="C70" s="181"/>
      <c r="D70" s="181"/>
      <c r="E70" s="181"/>
      <c r="F70" s="181"/>
      <c r="G70" s="181"/>
      <c r="H70" s="181"/>
      <c r="I70" s="182"/>
      <c r="O70">
        <f>SUM(O68:O69)</f>
        <v>2</v>
      </c>
      <c r="R70" s="2">
        <f>IF(O70=2,1,0)</f>
        <v>1</v>
      </c>
    </row>
    <row r="71" spans="1:18" x14ac:dyDescent="0.25">
      <c r="A71" s="195" t="str">
        <f>IF(O70=2,"",J71&amp;" "&amp;K71&amp;" "&amp;J71)</f>
        <v/>
      </c>
      <c r="B71" s="195"/>
      <c r="C71" s="195"/>
      <c r="D71" s="195"/>
      <c r="E71" s="195"/>
      <c r="F71" s="195"/>
      <c r="G71" s="195"/>
      <c r="H71" s="195"/>
      <c r="I71" s="195"/>
      <c r="J71" s="52" t="s">
        <v>86</v>
      </c>
      <c r="K71" t="s">
        <v>149</v>
      </c>
    </row>
    <row r="72" spans="1:18" x14ac:dyDescent="0.25">
      <c r="G72" s="277" t="s">
        <v>169</v>
      </c>
      <c r="H72" s="277"/>
      <c r="I72" s="277"/>
    </row>
    <row r="73" spans="1:18" x14ac:dyDescent="0.25">
      <c r="B73" s="62" t="s">
        <v>63</v>
      </c>
      <c r="C73" s="85"/>
      <c r="G73" s="277"/>
      <c r="H73" s="277"/>
      <c r="I73" s="277"/>
      <c r="J73" s="96">
        <f>IF(C73&gt;0,1,0)</f>
        <v>0</v>
      </c>
      <c r="K73" s="97">
        <f>'List 4.'!C94</f>
        <v>0</v>
      </c>
      <c r="M73">
        <f>K73-C73</f>
        <v>0</v>
      </c>
      <c r="N73">
        <f>IFERROR(M73,"greška")</f>
        <v>0</v>
      </c>
      <c r="O73">
        <f>IF(C73&lt;K73,0,1)</f>
        <v>1</v>
      </c>
      <c r="P73" s="128">
        <f>IF(N73="greška",0,IF(J73=1,IF(O73=1,1,0),0))</f>
        <v>0</v>
      </c>
      <c r="Q73" s="141">
        <f>LEN(C73)*C73</f>
        <v>0</v>
      </c>
    </row>
    <row r="74" spans="1:18" x14ac:dyDescent="0.25">
      <c r="C74" s="70" t="str">
        <f>IF(J73=0,J74,IF(N73="greška",J75,IF(O73=0,J76,"")))</f>
        <v>↑ Potrebno je upisati datum</v>
      </c>
      <c r="H74"/>
      <c r="J74" t="s">
        <v>215</v>
      </c>
    </row>
    <row r="75" spans="1:18" x14ac:dyDescent="0.25">
      <c r="G75" s="187"/>
      <c r="H75" s="187"/>
      <c r="I75" s="187"/>
      <c r="J75" t="s">
        <v>204</v>
      </c>
    </row>
    <row r="76" spans="1:18" x14ac:dyDescent="0.25">
      <c r="G76" s="275"/>
      <c r="H76" s="275"/>
      <c r="I76" s="275"/>
      <c r="J76" t="s">
        <v>210</v>
      </c>
      <c r="Q76" s="141">
        <f>LEN(G76)</f>
        <v>0</v>
      </c>
    </row>
    <row r="77" spans="1:18" x14ac:dyDescent="0.25">
      <c r="I77" s="120" t="str">
        <f>IF(J78=1,"",K79&amp;" "&amp;J71)</f>
        <v>Potrebno je upisati ime i prezime nadređenog službenika iznad neposredno nadređenog službenika ↑</v>
      </c>
    </row>
    <row r="78" spans="1:18" x14ac:dyDescent="0.25">
      <c r="J78" s="21">
        <f>IF(G76&gt;0,1,0)</f>
        <v>0</v>
      </c>
    </row>
    <row r="79" spans="1:18" x14ac:dyDescent="0.25">
      <c r="K79" t="s">
        <v>191</v>
      </c>
    </row>
    <row r="92" spans="1:14" x14ac:dyDescent="0.25">
      <c r="N92" t="s">
        <v>154</v>
      </c>
    </row>
    <row r="93" spans="1:14" x14ac:dyDescent="0.25">
      <c r="K93" t="s">
        <v>153</v>
      </c>
      <c r="M93">
        <v>8</v>
      </c>
      <c r="N93">
        <f>P73+R70+R59+R37+R21+R7+O1+J78</f>
        <v>2</v>
      </c>
    </row>
    <row r="96" spans="1:14" x14ac:dyDescent="0.25">
      <c r="A96" s="151" t="str">
        <f>IF('List 1.'!M46='List 1.'!N46,IF('List 2.'!M31='List 2.'!N31,IF('List 3.'!N25='List 3.'!O25,IF('List 7.'!M93='List 7.'!N93,K97&amp;TEXT(Q97,"0.000"),'List 7.'!K96),'List 3.'!L29),'List 2.'!K32),'List 1.'!K47)</f>
        <v>List 1. nije ispravno popunjen</v>
      </c>
      <c r="B96" s="151"/>
      <c r="C96" s="151"/>
      <c r="D96" s="151"/>
      <c r="E96" s="151"/>
      <c r="F96" s="151"/>
      <c r="G96" s="151"/>
      <c r="H96" s="151"/>
      <c r="I96" s="151"/>
      <c r="K96" t="s">
        <v>179</v>
      </c>
    </row>
    <row r="97" spans="11:17" x14ac:dyDescent="0.25">
      <c r="K97" t="s">
        <v>236</v>
      </c>
      <c r="Q97" s="141">
        <f>Q76+Q73+Q63+Q59+Q54+Q52+Q48+Q46+Q44+Q42+Q40+Q32+Q30+Q28+Q26+Q24+Q16+Q14+Q12+Q10</f>
        <v>28</v>
      </c>
    </row>
  </sheetData>
  <sheetProtection algorithmName="SHA-512" hashValue="n6GQ7zUd8GHzPMAxK8uPxPkgPrtYv+kHpZcNLhnmupQU+c24d1flwQFERwaSfKrzjCWBi0rk+7ILf9gau7XIPQ==" saltValue="mmogJ1KTUTWDlK+gWKUt2Q==" spinCount="100000" sheet="1" objects="1" scenarios="1" selectLockedCells="1"/>
  <mergeCells count="49">
    <mergeCell ref="A63:I70"/>
    <mergeCell ref="B42:E42"/>
    <mergeCell ref="B44:E44"/>
    <mergeCell ref="B46:E46"/>
    <mergeCell ref="B48:E48"/>
    <mergeCell ref="B47:E47"/>
    <mergeCell ref="H46:I46"/>
    <mergeCell ref="H44:I44"/>
    <mergeCell ref="F60:I61"/>
    <mergeCell ref="D54:F54"/>
    <mergeCell ref="G54:I54"/>
    <mergeCell ref="D51:E51"/>
    <mergeCell ref="F59:I59"/>
    <mergeCell ref="D52:E52"/>
    <mergeCell ref="D57:I58"/>
    <mergeCell ref="D59:E59"/>
    <mergeCell ref="A96:I96"/>
    <mergeCell ref="G72:I73"/>
    <mergeCell ref="G75:I75"/>
    <mergeCell ref="G76:I76"/>
    <mergeCell ref="A71:I71"/>
    <mergeCell ref="H30:I30"/>
    <mergeCell ref="H32:I32"/>
    <mergeCell ref="B36:D36"/>
    <mergeCell ref="H40:I40"/>
    <mergeCell ref="H48:I48"/>
    <mergeCell ref="B45:E45"/>
    <mergeCell ref="H42:I42"/>
    <mergeCell ref="B28:E28"/>
    <mergeCell ref="B30:E30"/>
    <mergeCell ref="B32:E32"/>
    <mergeCell ref="B40:E40"/>
    <mergeCell ref="B31:E31"/>
    <mergeCell ref="H10:I10"/>
    <mergeCell ref="D1:I2"/>
    <mergeCell ref="H28:I28"/>
    <mergeCell ref="B11:E11"/>
    <mergeCell ref="H12:I12"/>
    <mergeCell ref="H14:I14"/>
    <mergeCell ref="H16:I16"/>
    <mergeCell ref="B23:E23"/>
    <mergeCell ref="H24:I24"/>
    <mergeCell ref="H26:I26"/>
    <mergeCell ref="B10:E10"/>
    <mergeCell ref="B12:E12"/>
    <mergeCell ref="B14:E14"/>
    <mergeCell ref="B16:E16"/>
    <mergeCell ref="B24:E24"/>
    <mergeCell ref="B26:E26"/>
  </mergeCells>
  <conditionalFormatting sqref="A2:A3">
    <cfRule type="containsText" dxfId="157" priority="53" operator="containsText" text="Osobni podaci iz Obrazca 1.A nisu popunjeni">
      <formula>NOT(ISERROR(SEARCH("Osobni podaci iz Obrazca 1.A nisu popunjeni",A2)))</formula>
    </cfRule>
  </conditionalFormatting>
  <conditionalFormatting sqref="A38">
    <cfRule type="containsText" dxfId="156" priority="152" operator="containsText" text="kriterij 3">
      <formula>NOT(ISERROR(SEARCH("kriterij 3",A38)))</formula>
    </cfRule>
  </conditionalFormatting>
  <conditionalFormatting sqref="A56">
    <cfRule type="containsText" dxfId="155" priority="48" operator="containsText" text="Osobni podaci iz Obrazca 1.A nisu popunjeni">
      <formula>NOT(ISERROR(SEARCH("Osobni podaci iz Obrazca 1.A nisu popunjeni",A56)))</formula>
    </cfRule>
  </conditionalFormatting>
  <conditionalFormatting sqref="A63:I70">
    <cfRule type="cellIs" dxfId="154" priority="47" operator="lessThan">
      <formula>$O$69</formula>
    </cfRule>
  </conditionalFormatting>
  <conditionalFormatting sqref="A96:I96">
    <cfRule type="containsText" dxfId="153" priority="1" operator="containsText" text="kontrolni broj">
      <formula>NOT(ISERROR(SEARCH("kontrolni broj",A96)))</formula>
    </cfRule>
    <cfRule type="containsText" dxfId="152" priority="31" operator="containsText" text="ispravno">
      <formula>NOT(ISERROR(SEARCH("ispravno",A96)))</formula>
    </cfRule>
  </conditionalFormatting>
  <conditionalFormatting sqref="C73">
    <cfRule type="expression" dxfId="151" priority="49">
      <formula>$P$73&lt;1</formula>
    </cfRule>
  </conditionalFormatting>
  <conditionalFormatting sqref="D3">
    <cfRule type="containsText" dxfId="150" priority="131" operator="containsText" text="potrebno odabrati">
      <formula>NOT(ISERROR(SEARCH("potrebno odabrati",D3)))</formula>
    </cfRule>
  </conditionalFormatting>
  <conditionalFormatting sqref="D1:I2">
    <cfRule type="containsText" dxfId="149" priority="55" operator="containsText" text="osobni podaci">
      <formula>NOT(ISERROR(SEARCH("osobni podaci",D1)))</formula>
    </cfRule>
  </conditionalFormatting>
  <conditionalFormatting sqref="F3">
    <cfRule type="containsText" dxfId="148" priority="184" operator="containsText" text="obrazac">
      <formula>NOT(ISERROR(SEARCH("obrazac",F3)))</formula>
    </cfRule>
  </conditionalFormatting>
  <conditionalFormatting sqref="F6:F8">
    <cfRule type="containsText" dxfId="147" priority="68" operator="containsText" text="Nije primjenjivo">
      <formula>NOT(ISERROR(SEARCH("Nije primjenjivo",F6)))</formula>
    </cfRule>
  </conditionalFormatting>
  <conditionalFormatting sqref="F6:F17">
    <cfRule type="containsText" dxfId="146" priority="61" operator="containsText" text="naročito uspješan">
      <formula>NOT(ISERROR(SEARCH("naročito uspješan",F6)))</formula>
    </cfRule>
    <cfRule type="containsText" dxfId="145" priority="66" operator="containsText" text="zadovoljava">
      <formula>NOT(ISERROR(SEARCH("zadovoljava",F6)))</formula>
    </cfRule>
    <cfRule type="containsText" dxfId="144" priority="65" operator="containsText" text="ne zadovoljava">
      <formula>NOT(ISERROR(SEARCH("ne zadovoljava",F6)))</formula>
    </cfRule>
    <cfRule type="containsText" dxfId="143" priority="63" operator="containsText" text="uspješan">
      <formula>NOT(ISERROR(SEARCH("uspješan",F6)))</formula>
    </cfRule>
  </conditionalFormatting>
  <conditionalFormatting sqref="F9">
    <cfRule type="containsText" dxfId="142" priority="75" operator="containsText" text="Nije primjenjivo">
      <formula>NOT(ISERROR(SEARCH("Nije primjenjivo",F9)))</formula>
    </cfRule>
  </conditionalFormatting>
  <conditionalFormatting sqref="F11:F16">
    <cfRule type="containsText" dxfId="141" priority="80" operator="containsText" text="Nije primjenjivo">
      <formula>NOT(ISERROR(SEARCH("Nije primjenjivo",F11)))</formula>
    </cfRule>
  </conditionalFormatting>
  <conditionalFormatting sqref="F19:F21">
    <cfRule type="containsText" dxfId="140" priority="251" operator="containsText" text="naročito uspješan">
      <formula>NOT(ISERROR(SEARCH("naročito uspješan",F19)))</formula>
    </cfRule>
    <cfRule type="containsText" dxfId="139" priority="256" operator="containsText" text="zadovoljava">
      <formula>NOT(ISERROR(SEARCH("zadovoljava",F19)))</formula>
    </cfRule>
    <cfRule type="containsText" dxfId="138" priority="255" operator="containsText" text="ne zadovoljava">
      <formula>NOT(ISERROR(SEARCH("ne zadovoljava",F19)))</formula>
    </cfRule>
    <cfRule type="containsText" dxfId="137" priority="253" operator="containsText" text="uspješan">
      <formula>NOT(ISERROR(SEARCH("uspješan",F19)))</formula>
    </cfRule>
  </conditionalFormatting>
  <conditionalFormatting sqref="F20:F21">
    <cfRule type="containsText" dxfId="136" priority="258" operator="containsText" text="Nije primjenjivo">
      <formula>NOT(ISERROR(SEARCH("Nije primjenjivo",F20)))</formula>
    </cfRule>
  </conditionalFormatting>
  <conditionalFormatting sqref="F21:F22 F35:F37 F55:F56 F60 F62 F72 F97:F1048576 L10:L14">
    <cfRule type="containsText" dxfId="135" priority="343" operator="containsText" text="uspješan">
      <formula>NOT(ISERROR(SEARCH("uspješan",F10)))</formula>
    </cfRule>
  </conditionalFormatting>
  <conditionalFormatting sqref="F21:F22 F35:F37 F55:F56 F60 F62 F72 F97:F1048576">
    <cfRule type="containsText" dxfId="134" priority="341" operator="containsText" text="naročito uspješan">
      <formula>NOT(ISERROR(SEARCH("naročito uspješan",F21)))</formula>
    </cfRule>
  </conditionalFormatting>
  <conditionalFormatting sqref="F23">
    <cfRule type="containsText" dxfId="133" priority="95" operator="containsText" text="Nije primjenjivo">
      <formula>NOT(ISERROR(SEARCH("Nije primjenjivo",F23)))</formula>
    </cfRule>
  </conditionalFormatting>
  <conditionalFormatting sqref="F23:F33">
    <cfRule type="containsText" dxfId="132" priority="92" operator="containsText" text="uspješan">
      <formula>NOT(ISERROR(SEARCH("uspješan",F23)))</formula>
    </cfRule>
    <cfRule type="containsText" dxfId="131" priority="91" operator="containsText" text="naročito uspješan">
      <formula>NOT(ISERROR(SEARCH("naročito uspješan",F23)))</formula>
    </cfRule>
    <cfRule type="containsText" dxfId="130" priority="94" operator="containsText" text="zadovoljava">
      <formula>NOT(ISERROR(SEARCH("zadovoljava",F23)))</formula>
    </cfRule>
    <cfRule type="containsText" dxfId="129" priority="93" operator="containsText" text="ne zadovoljava">
      <formula>NOT(ISERROR(SEARCH("ne zadovoljava",F23)))</formula>
    </cfRule>
  </conditionalFormatting>
  <conditionalFormatting sqref="F25">
    <cfRule type="containsText" dxfId="128" priority="100" operator="containsText" text="Nije primjenjivo">
      <formula>NOT(ISERROR(SEARCH("Nije primjenjivo",F25)))</formula>
    </cfRule>
  </conditionalFormatting>
  <conditionalFormatting sqref="F26">
    <cfRule type="containsText" dxfId="127" priority="182" operator="containsText" text="Nije primjenjivo">
      <formula>NOT(ISERROR(SEARCH("Nije primjenjivo",F26)))</formula>
    </cfRule>
  </conditionalFormatting>
  <conditionalFormatting sqref="F27">
    <cfRule type="containsText" dxfId="126" priority="105" operator="containsText" text="Nije primjenjivo">
      <formula>NOT(ISERROR(SEARCH("Nije primjenjivo",F27)))</formula>
    </cfRule>
  </conditionalFormatting>
  <conditionalFormatting sqref="F28">
    <cfRule type="containsText" dxfId="125" priority="177" operator="containsText" text="Nije primjenjivo">
      <formula>NOT(ISERROR(SEARCH("Nije primjenjivo",F28)))</formula>
    </cfRule>
  </conditionalFormatting>
  <conditionalFormatting sqref="F29">
    <cfRule type="containsText" dxfId="124" priority="110" operator="containsText" text="Nije primjenjivo">
      <formula>NOT(ISERROR(SEARCH("Nije primjenjivo",F29)))</formula>
    </cfRule>
  </conditionalFormatting>
  <conditionalFormatting sqref="F30">
    <cfRule type="containsText" dxfId="123" priority="172" operator="containsText" text="Nije primjenjivo">
      <formula>NOT(ISERROR(SEARCH("Nije primjenjivo",F30)))</formula>
    </cfRule>
  </conditionalFormatting>
  <conditionalFormatting sqref="F31:F32">
    <cfRule type="containsText" dxfId="122" priority="193" operator="containsText" text="Nije primjenjivo">
      <formula>NOT(ISERROR(SEARCH("Nije primjenjivo",F31)))</formula>
    </cfRule>
  </conditionalFormatting>
  <conditionalFormatting sqref="F39:F48">
    <cfRule type="containsText" dxfId="121" priority="115" operator="containsText" text="Nije primjenjivo">
      <formula>NOT(ISERROR(SEARCH("Nije primjenjivo",F39)))</formula>
    </cfRule>
  </conditionalFormatting>
  <conditionalFormatting sqref="F39:F50">
    <cfRule type="containsText" dxfId="120" priority="114" operator="containsText" text="zadovoljava">
      <formula>NOT(ISERROR(SEARCH("zadovoljava",F39)))</formula>
    </cfRule>
    <cfRule type="containsText" dxfId="119" priority="113" operator="containsText" text="ne zadovoljava">
      <formula>NOT(ISERROR(SEARCH("ne zadovoljava",F39)))</formula>
    </cfRule>
    <cfRule type="containsText" dxfId="118" priority="111" operator="containsText" text="naročito uspješan">
      <formula>NOT(ISERROR(SEARCH("naročito uspješan",F39)))</formula>
    </cfRule>
    <cfRule type="containsText" dxfId="117" priority="112" operator="containsText" text="uspješan">
      <formula>NOT(ISERROR(SEARCH("uspješan",F39)))</formula>
    </cfRule>
  </conditionalFormatting>
  <conditionalFormatting sqref="F76:F95">
    <cfRule type="containsText" dxfId="116" priority="9" operator="containsText" text="ne zadovoljava">
      <formula>NOT(ISERROR(SEARCH("ne zadovoljava",F76)))</formula>
    </cfRule>
    <cfRule type="containsText" dxfId="115" priority="5" operator="containsText" text="naročito uspješan">
      <formula>NOT(ISERROR(SEARCH("naročito uspješan",F76)))</formula>
    </cfRule>
    <cfRule type="containsText" dxfId="114" priority="7" operator="containsText" text="uspješan">
      <formula>NOT(ISERROR(SEARCH("uspješan",F76)))</formula>
    </cfRule>
    <cfRule type="containsText" dxfId="113" priority="12" operator="containsText" text="Nije primjenjivo">
      <formula>NOT(ISERROR(SEARCH("Nije primjenjivo",F76)))</formula>
    </cfRule>
    <cfRule type="containsText" dxfId="112" priority="10" operator="containsText" text="zadovoljava">
      <formula>NOT(ISERROR(SEARCH("zadovoljava",F76)))</formula>
    </cfRule>
  </conditionalFormatting>
  <conditionalFormatting sqref="F59:I59">
    <cfRule type="containsText" dxfId="111" priority="45" operator="containsText" text="zadovoljava">
      <formula>NOT(ISERROR(SEARCH("zadovoljava",F59)))</formula>
    </cfRule>
    <cfRule type="containsText" dxfId="110" priority="43" operator="containsText" text="NE ">
      <formula>NOT(ISERROR(SEARCH("NE ",F59)))</formula>
    </cfRule>
    <cfRule type="containsText" dxfId="109" priority="41" operator="containsText" text="USPJEŠAN">
      <formula>NOT(ISERROR(SEARCH("USPJEŠAN",F59)))</formula>
    </cfRule>
    <cfRule type="containsText" dxfId="108" priority="39" operator="containsText" text="naročito">
      <formula>NOT(ISERROR(SEARCH("naročito",F59)))</formula>
    </cfRule>
    <cfRule type="containsText" dxfId="107" priority="38" operator="containsText" text="IZVRSTAN">
      <formula>NOT(ISERROR(SEARCH("IZVRSTAN",F59)))</formula>
    </cfRule>
  </conditionalFormatting>
  <conditionalFormatting sqref="G6:G8">
    <cfRule type="containsText" dxfId="106" priority="69" operator="containsText" text="N/P">
      <formula>NOT(ISERROR(SEARCH("N/P",G6)))</formula>
    </cfRule>
  </conditionalFormatting>
  <conditionalFormatting sqref="G6:G17">
    <cfRule type="cellIs" dxfId="105" priority="67" operator="equal">
      <formula>10</formula>
    </cfRule>
    <cfRule type="cellIs" dxfId="104" priority="60" operator="equal">
      <formula>40</formula>
    </cfRule>
    <cfRule type="cellIs" dxfId="103" priority="62" operator="equal">
      <formula>30</formula>
    </cfRule>
    <cfRule type="cellIs" dxfId="102" priority="64" operator="equal">
      <formula>20</formula>
    </cfRule>
  </conditionalFormatting>
  <conditionalFormatting sqref="G9">
    <cfRule type="containsText" dxfId="101" priority="339" operator="containsText" text="N/P">
      <formula>NOT(ISERROR(SEARCH("N/P",G9)))</formula>
    </cfRule>
  </conditionalFormatting>
  <conditionalFormatting sqref="G11:G16">
    <cfRule type="containsText" dxfId="100" priority="224" operator="containsText" text="N/P">
      <formula>NOT(ISERROR(SEARCH("N/P",G11)))</formula>
    </cfRule>
  </conditionalFormatting>
  <conditionalFormatting sqref="G19:G20">
    <cfRule type="cellIs" dxfId="99" priority="252" operator="equal">
      <formula>30</formula>
    </cfRule>
    <cfRule type="cellIs" dxfId="98" priority="254" operator="equal">
      <formula>20</formula>
    </cfRule>
    <cfRule type="cellIs" dxfId="97" priority="250" operator="equal">
      <formula>40</formula>
    </cfRule>
    <cfRule type="cellIs" dxfId="96" priority="257" operator="equal">
      <formula>10</formula>
    </cfRule>
  </conditionalFormatting>
  <conditionalFormatting sqref="G20">
    <cfRule type="containsText" dxfId="95" priority="259" operator="containsText" text="N/P">
      <formula>NOT(ISERROR(SEARCH("N/P",G20)))</formula>
    </cfRule>
  </conditionalFormatting>
  <conditionalFormatting sqref="G22:G33">
    <cfRule type="cellIs" dxfId="94" priority="154" operator="equal">
      <formula>30</formula>
    </cfRule>
    <cfRule type="cellIs" dxfId="93" priority="155" operator="equal">
      <formula>20</formula>
    </cfRule>
    <cfRule type="cellIs" dxfId="92" priority="153" operator="equal">
      <formula>40</formula>
    </cfRule>
    <cfRule type="cellIs" dxfId="91" priority="156" operator="equal">
      <formula>10</formula>
    </cfRule>
  </conditionalFormatting>
  <conditionalFormatting sqref="G23">
    <cfRule type="containsText" dxfId="90" priority="319" operator="containsText" text="N/P">
      <formula>NOT(ISERROR(SEARCH("N/P",G23)))</formula>
    </cfRule>
  </conditionalFormatting>
  <conditionalFormatting sqref="G25">
    <cfRule type="containsText" dxfId="89" priority="314" operator="containsText" text="N/P">
      <formula>NOT(ISERROR(SEARCH("N/P",G25)))</formula>
    </cfRule>
  </conditionalFormatting>
  <conditionalFormatting sqref="G26">
    <cfRule type="containsText" dxfId="88" priority="167" operator="containsText" text="N/P">
      <formula>NOT(ISERROR(SEARCH("N/P",G26)))</formula>
    </cfRule>
  </conditionalFormatting>
  <conditionalFormatting sqref="G27">
    <cfRule type="containsText" dxfId="87" priority="309" operator="containsText" text="N/P">
      <formula>NOT(ISERROR(SEARCH("N/P",G27)))</formula>
    </cfRule>
  </conditionalFormatting>
  <conditionalFormatting sqref="G28">
    <cfRule type="containsText" dxfId="86" priority="162" operator="containsText" text="N/P">
      <formula>NOT(ISERROR(SEARCH("N/P",G28)))</formula>
    </cfRule>
  </conditionalFormatting>
  <conditionalFormatting sqref="G29">
    <cfRule type="containsText" dxfId="85" priority="304" operator="containsText" text="N/P">
      <formula>NOT(ISERROR(SEARCH("N/P",G29)))</formula>
    </cfRule>
  </conditionalFormatting>
  <conditionalFormatting sqref="G30">
    <cfRule type="containsText" dxfId="84" priority="157" operator="containsText" text="N/P">
      <formula>NOT(ISERROR(SEARCH("N/P",G30)))</formula>
    </cfRule>
  </conditionalFormatting>
  <conditionalFormatting sqref="G31:G32">
    <cfRule type="containsText" dxfId="83" priority="194" operator="containsText" text="N/P">
      <formula>NOT(ISERROR(SEARCH("N/P",G31)))</formula>
    </cfRule>
  </conditionalFormatting>
  <conditionalFormatting sqref="G39:G47">
    <cfRule type="containsText" dxfId="82" priority="36" operator="containsText" text="N/P">
      <formula>NOT(ISERROR(SEARCH("N/P",G39)))</formula>
    </cfRule>
  </conditionalFormatting>
  <conditionalFormatting sqref="G39:G52">
    <cfRule type="cellIs" dxfId="81" priority="34" operator="equal">
      <formula>20</formula>
    </cfRule>
    <cfRule type="cellIs" dxfId="80" priority="35" operator="equal">
      <formula>10</formula>
    </cfRule>
    <cfRule type="cellIs" dxfId="79" priority="33" operator="equal">
      <formula>30</formula>
    </cfRule>
    <cfRule type="cellIs" dxfId="78" priority="32" operator="equal">
      <formula>40</formula>
    </cfRule>
  </conditionalFormatting>
  <conditionalFormatting sqref="G51">
    <cfRule type="containsText" dxfId="77" priority="249" operator="containsText" text="N/P">
      <formula>NOT(ISERROR(SEARCH("N/P",G51)))</formula>
    </cfRule>
  </conditionalFormatting>
  <conditionalFormatting sqref="G76:G95">
    <cfRule type="containsText" dxfId="76" priority="13" operator="containsText" text="N/P">
      <formula>NOT(ISERROR(SEARCH("N/P",G76)))</formula>
    </cfRule>
    <cfRule type="cellIs" dxfId="75" priority="4" operator="equal">
      <formula>40</formula>
    </cfRule>
    <cfRule type="cellIs" dxfId="74" priority="11" operator="equal">
      <formula>10</formula>
    </cfRule>
    <cfRule type="cellIs" dxfId="73" priority="8" operator="equal">
      <formula>20</formula>
    </cfRule>
    <cfRule type="cellIs" dxfId="72" priority="6" operator="equal">
      <formula>30</formula>
    </cfRule>
  </conditionalFormatting>
  <conditionalFormatting sqref="G54:I54">
    <cfRule type="containsText" dxfId="71" priority="46" operator="containsText" text="zadovoljava">
      <formula>NOT(ISERROR(SEARCH("zadovoljava",G54)))</formula>
    </cfRule>
    <cfRule type="containsText" dxfId="70" priority="37" operator="containsText" text="popunj">
      <formula>NOT(ISERROR(SEARCH("popunj",G54)))</formula>
    </cfRule>
    <cfRule type="containsText" dxfId="69" priority="40" operator="containsText" text="naročito">
      <formula>NOT(ISERROR(SEARCH("naročito",G54)))</formula>
    </cfRule>
    <cfRule type="containsText" dxfId="68" priority="42" operator="containsText" text="uspješan">
      <formula>NOT(ISERROR(SEARCH("uspješan",G54)))</formula>
    </cfRule>
    <cfRule type="containsText" dxfId="67" priority="44" stopIfTrue="1" operator="containsText" text="ne ">
      <formula>NOT(ISERROR(SEARCH("ne ",G54)))</formula>
    </cfRule>
  </conditionalFormatting>
  <conditionalFormatting sqref="G76:I76">
    <cfRule type="cellIs" dxfId="66" priority="2" operator="lessThan">
      <formula>1</formula>
    </cfRule>
  </conditionalFormatting>
  <conditionalFormatting sqref="H6:H9">
    <cfRule type="containsText" dxfId="65" priority="59" operator="containsText" text="potrebno je ">
      <formula>NOT(ISERROR(SEARCH("potrebno je ",H6)))</formula>
    </cfRule>
  </conditionalFormatting>
  <conditionalFormatting sqref="H11 H13 H15 H17:H23 H25 H27 H29 H31 H33:H37 H39 H41 H43 H45 H47 H49:H53 H55:H56 H62 H97:H1048576">
    <cfRule type="containsText" dxfId="64" priority="183" operator="containsText" text="potrebno je ">
      <formula>NOT(ISERROR(SEARCH("potrebno je ",H11)))</formula>
    </cfRule>
  </conditionalFormatting>
  <conditionalFormatting sqref="H77:H95">
    <cfRule type="containsText" dxfId="63" priority="3" operator="containsText" text="potrebno je ">
      <formula>NOT(ISERROR(SEARCH("potrebno je ",H77)))</formula>
    </cfRule>
  </conditionalFormatting>
  <conditionalFormatting sqref="I4:I5">
    <cfRule type="cellIs" dxfId="62" priority="52" operator="lessThan">
      <formula>#REF!</formula>
    </cfRule>
  </conditionalFormatting>
  <conditionalFormatting sqref="K10:K14">
    <cfRule type="containsText" dxfId="61" priority="26" operator="containsText" text="ne zadovoljava">
      <formula>NOT(ISERROR(SEARCH("ne zadovoljava",K10)))</formula>
    </cfRule>
    <cfRule type="containsText" dxfId="60" priority="29" operator="containsText" text="Nije primjenjivo">
      <formula>NOT(ISERROR(SEARCH("Nije primjenjivo",K10)))</formula>
    </cfRule>
    <cfRule type="containsText" dxfId="59" priority="27" operator="containsText" text="zadovoljava">
      <formula>NOT(ISERROR(SEARCH("zadovoljava",K10)))</formula>
    </cfRule>
    <cfRule type="containsText" dxfId="58" priority="24" operator="containsText" text="uspješan">
      <formula>NOT(ISERROR(SEARCH("uspješan",K10)))</formula>
    </cfRule>
  </conditionalFormatting>
  <conditionalFormatting sqref="K10:L14 K15 G35:G37 G55:G56 G62 G97:G1048576 G19 G22 G24 G33 G10 G17 G48:G50 G52">
    <cfRule type="containsText" dxfId="57" priority="349" operator="containsText" text="N/P">
      <formula>NOT(ISERROR(SEARCH("N/P",G10)))</formula>
    </cfRule>
  </conditionalFormatting>
  <conditionalFormatting sqref="K10:L14 K15 G35:G37 G55:G56 G62 G97:G1048576">
    <cfRule type="cellIs" dxfId="56" priority="340" operator="equal">
      <formula>40</formula>
    </cfRule>
    <cfRule type="cellIs" dxfId="55" priority="342" operator="equal">
      <formula>30</formula>
    </cfRule>
    <cfRule type="cellIs" dxfId="54" priority="347" operator="equal">
      <formula>10</formula>
    </cfRule>
    <cfRule type="cellIs" dxfId="53" priority="344" operator="equal">
      <formula>20</formula>
    </cfRule>
  </conditionalFormatting>
  <conditionalFormatting sqref="K10:L14">
    <cfRule type="containsText" dxfId="52" priority="22" operator="containsText" text="naročito uspješan">
      <formula>NOT(ISERROR(SEARCH("naročito uspješan",K10)))</formula>
    </cfRule>
  </conditionalFormatting>
  <conditionalFormatting sqref="K10:L15">
    <cfRule type="containsText" dxfId="51" priority="20" operator="containsText" text="potrebno je ">
      <formula>NOT(ISERROR(SEARCH("potrebno je ",K10)))</formula>
    </cfRule>
  </conditionalFormatting>
  <conditionalFormatting sqref="L10:L14 F21:F22 F35:F37 F55:F56 F60 F62 F72 F97:F1048576 F19 F49:F50 F24 F33 F10 F17">
    <cfRule type="containsText" dxfId="50" priority="348" operator="containsText" text="Nije primjenjivo">
      <formula>NOT(ISERROR(SEARCH("Nije primjenjivo",F10)))</formula>
    </cfRule>
  </conditionalFormatting>
  <conditionalFormatting sqref="L10:L14 F21:F22 F35:F37 F55:F56 F60 F62 F72 F97:F1048576">
    <cfRule type="containsText" dxfId="49" priority="345" operator="containsText" text="ne zadovoljava">
      <formula>NOT(ISERROR(SEARCH("ne zadovoljava",F10)))</formula>
    </cfRule>
    <cfRule type="containsText" dxfId="48" priority="346" operator="containsText" text="zadovoljava">
      <formula>NOT(ISERROR(SEARCH("zadovoljava",F10)))</formula>
    </cfRule>
  </conditionalFormatting>
  <conditionalFormatting sqref="L10:L14">
    <cfRule type="containsText" dxfId="47" priority="15" operator="containsText" text="naročito uspješan">
      <formula>NOT(ISERROR(SEARCH("naročito uspješan",L10)))</formula>
    </cfRule>
    <cfRule type="containsText" dxfId="46" priority="18" operator="containsText" text="zadovoljava">
      <formula>NOT(ISERROR(SEARCH("zadovoljava",L10)))</formula>
    </cfRule>
    <cfRule type="containsText" dxfId="45" priority="16" operator="containsText" text="uspješan">
      <formula>NOT(ISERROR(SEARCH("uspješan",L10)))</formula>
    </cfRule>
    <cfRule type="containsText" dxfId="44" priority="17" operator="containsText" text="ne zadovoljava">
      <formula>NOT(ISERROR(SEARCH("ne zadovoljava",L10)))</formula>
    </cfRule>
    <cfRule type="containsText" dxfId="43" priority="19" operator="containsText" text="Nije primjenjivo">
      <formula>NOT(ISERROR(SEARCH("Nije primjenjivo",L10)))</formula>
    </cfRule>
  </conditionalFormatting>
  <conditionalFormatting sqref="L10:L15">
    <cfRule type="containsText" dxfId="42" priority="14" operator="containsText" text="potrebno je ">
      <formula>NOT(ISERROR(SEARCH("potrebno je ",L10)))</formula>
    </cfRule>
  </conditionalFormatting>
  <dataValidations count="4">
    <dataValidation type="list" allowBlank="1" showInputMessage="1" showErrorMessage="1" sqref="F59:I59" xr:uid="{CB9AB45F-A7C2-4721-A071-5990CCC47A94}">
      <formula1>$J$59:$J$60</formula1>
    </dataValidation>
    <dataValidation type="textLength" operator="lessThan" allowBlank="1" showInputMessage="1" showErrorMessage="1" error="Maksimalan broj znakova (s prazninama) je 210" sqref="B4:F5" xr:uid="{BF3EF3AD-D086-4F3B-96F3-CC589EA6B9DA}">
      <formula1>210</formula1>
    </dataValidation>
    <dataValidation type="textLength" operator="lessThan" allowBlank="1" showInputMessage="1" showErrorMessage="1" error="Maksimalan broz znakova (s prazninama) je 145" sqref="G4:G5" xr:uid="{0BC2AE8A-7BB9-4B69-B500-AE5942300C05}">
      <formula1>145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C73" xr:uid="{63649DD9-8F6E-4A30-A119-62858CAA57C9}">
      <formula1>45291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>
    <oddHeader>&amp;LIzvješće o učinkovitosti rada - &amp;"-,Podebljano"List 7. &amp;"-,Uobičajeno"- Prijedlog ocjene koju daje nadređeni službenik višeg hijerarhijskog reda (ako se ne slaže s prijedlogom ocjene neposredno nadređenog službenika)</oddHeader>
    <oddFooter>&amp;C&amp;P/&amp;N</oddFooter>
  </headerFooter>
  <rowBreaks count="3" manualBreakCount="3">
    <brk id="19" max="16383" man="1"/>
    <brk id="35" max="16383" man="1"/>
    <brk id="49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82A2EA-0426-420A-8553-B5B024242F41}">
          <x14:formula1>
            <xm:f>Podaci!$D$10:$D$14</xm:f>
          </x14:formula1>
          <xm:sqref>F40 F48 F44 F42 F46</xm:sqref>
        </x14:dataValidation>
        <x14:dataValidation type="list" allowBlank="1" showInputMessage="1" showErrorMessage="1" xr:uid="{491F3585-C63F-4181-9024-70312D54A0E4}">
          <x14:formula1>
            <xm:f>Podaci!$A$10:$A$15</xm:f>
          </x14:formula1>
          <xm:sqref>F24 F30 F26 F28</xm:sqref>
        </x14:dataValidation>
        <x14:dataValidation type="list" allowBlank="1" showInputMessage="1" showErrorMessage="1" xr:uid="{C09A65B8-23E1-4F47-A0EB-C9C112ACFF7C}">
          <x14:formula1>
            <xm:f>Podaci!$A$10:$A$14</xm:f>
          </x14:formula1>
          <xm:sqref>F10 F32 F16 F14 F12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AW52"/>
  <sheetViews>
    <sheetView showGridLines="0" showRowColHeaders="0" showRuler="0" view="pageLayout" zoomScaleNormal="100" workbookViewId="0">
      <selection activeCell="A13" sqref="A13:AL20"/>
    </sheetView>
  </sheetViews>
  <sheetFormatPr defaultRowHeight="15" x14ac:dyDescent="0.25"/>
  <cols>
    <col min="1" max="7" width="2.5703125" customWidth="1"/>
    <col min="8" max="8" width="2.5703125" style="24" customWidth="1"/>
    <col min="9" max="38" width="2.5703125" customWidth="1"/>
    <col min="39" max="39" width="9.140625" hidden="1" customWidth="1"/>
    <col min="40" max="40" width="21.140625" hidden="1" customWidth="1"/>
    <col min="41" max="49" width="9.140625" hidden="1" customWidth="1"/>
    <col min="50" max="51" width="9.140625" customWidth="1"/>
  </cols>
  <sheetData>
    <row r="1" spans="1:47" x14ac:dyDescent="0.25">
      <c r="A1" s="87" t="s">
        <v>74</v>
      </c>
      <c r="B1" s="73"/>
      <c r="C1" s="73"/>
      <c r="D1" s="73"/>
      <c r="E1" s="73"/>
      <c r="F1" s="73"/>
      <c r="G1" s="73"/>
      <c r="H1" s="90"/>
      <c r="I1" s="73"/>
      <c r="J1" s="191" t="str">
        <f>IF('List 1.'!J13+'List 1.'!J15+'List 1.'!J21&lt;3,'List 3.'!K4,AN2)</f>
        <v>Osobni podaci nisu ispravno popunjeni</v>
      </c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2"/>
      <c r="AN1" t="str">
        <f>UPPER('List 1.'!B13&amp;" "&amp;'List 1.'!B15)</f>
        <v xml:space="preserve"> </v>
      </c>
      <c r="AU1" t="s">
        <v>228</v>
      </c>
    </row>
    <row r="2" spans="1:47" ht="14.25" customHeight="1" x14ac:dyDescent="0.25">
      <c r="A2" s="88"/>
      <c r="B2" s="89"/>
      <c r="C2" s="89"/>
      <c r="D2" s="18"/>
      <c r="E2" s="18"/>
      <c r="F2" s="18"/>
      <c r="G2" s="18"/>
      <c r="H2" s="44"/>
      <c r="I2" s="18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4"/>
      <c r="AN2" t="str">
        <f>AN1&amp;", "&amp;'List 1.'!C21</f>
        <v xml:space="preserve"> , </v>
      </c>
      <c r="AQ2" s="128">
        <f>IF(J1=AN3,0,1)</f>
        <v>0</v>
      </c>
    </row>
    <row r="3" spans="1:47" x14ac:dyDescent="0.25">
      <c r="B3" s="1"/>
      <c r="G3" s="20"/>
      <c r="AN3" t="s">
        <v>150</v>
      </c>
    </row>
    <row r="4" spans="1:47" x14ac:dyDescent="0.25">
      <c r="A4" s="2" t="s">
        <v>166</v>
      </c>
    </row>
    <row r="5" spans="1:47" ht="4.5" customHeight="1" x14ac:dyDescent="0.25">
      <c r="A5" s="2"/>
      <c r="AM5">
        <f>SUM(AM6:AM10)</f>
        <v>0</v>
      </c>
    </row>
    <row r="6" spans="1:47" ht="15.75" thickBot="1" x14ac:dyDescent="0.3">
      <c r="H6"/>
      <c r="J6" s="282" t="s">
        <v>123</v>
      </c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M6">
        <f>IF(E8&gt;0,1,0)</f>
        <v>0</v>
      </c>
      <c r="AN6" t="str">
        <f>IF(AM6=1,"Izvrstan","")</f>
        <v/>
      </c>
    </row>
    <row r="7" spans="1:47" ht="7.5" customHeight="1" x14ac:dyDescent="0.25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  <c r="AM7">
        <f>IF(L8&gt;0,1,0)</f>
        <v>0</v>
      </c>
      <c r="AN7" t="str">
        <f>IF(AM7=1,"Naročito uspješan","")</f>
        <v/>
      </c>
    </row>
    <row r="8" spans="1:47" x14ac:dyDescent="0.25">
      <c r="B8" s="77"/>
      <c r="E8" s="91"/>
      <c r="F8" s="56"/>
      <c r="G8" s="56"/>
      <c r="H8" s="56"/>
      <c r="I8" s="56"/>
      <c r="J8" s="56"/>
      <c r="K8" s="56"/>
      <c r="L8" s="91"/>
      <c r="M8" s="56"/>
      <c r="N8" s="56"/>
      <c r="O8" s="56"/>
      <c r="P8" s="56"/>
      <c r="Q8" s="56"/>
      <c r="R8" s="56"/>
      <c r="S8" s="91"/>
      <c r="T8" s="56"/>
      <c r="U8" s="56"/>
      <c r="V8" s="56"/>
      <c r="W8" s="56"/>
      <c r="X8" s="56"/>
      <c r="Y8" s="56"/>
      <c r="Z8" s="91"/>
      <c r="AA8" s="56"/>
      <c r="AB8" s="56"/>
      <c r="AC8" s="56"/>
      <c r="AD8" s="56"/>
      <c r="AE8" s="56"/>
      <c r="AF8" s="56"/>
      <c r="AG8" s="91"/>
      <c r="AJ8" s="78"/>
      <c r="AM8">
        <f>IF(S8&gt;0,1,0)</f>
        <v>0</v>
      </c>
      <c r="AN8" t="str">
        <f>IF(AM8=1,"Uspješan","")</f>
        <v/>
      </c>
      <c r="AO8">
        <f>SUM(AM6:AM10)</f>
        <v>0</v>
      </c>
      <c r="AQ8" s="128">
        <f>IF(AO8=1,1,IF(AO8&gt;1,AO8*AO8,0))</f>
        <v>0</v>
      </c>
    </row>
    <row r="9" spans="1:47" ht="33" customHeight="1" thickBot="1" x14ac:dyDescent="0.3">
      <c r="A9" s="56"/>
      <c r="B9" s="79"/>
      <c r="C9" s="280" t="s">
        <v>111</v>
      </c>
      <c r="D9" s="280"/>
      <c r="E9" s="280"/>
      <c r="F9" s="280"/>
      <c r="G9" s="280"/>
      <c r="H9" s="80"/>
      <c r="I9" s="80"/>
      <c r="J9" s="281" t="s">
        <v>1</v>
      </c>
      <c r="K9" s="281"/>
      <c r="L9" s="281"/>
      <c r="M9" s="281"/>
      <c r="N9" s="281"/>
      <c r="O9" s="80"/>
      <c r="P9" s="80"/>
      <c r="Q9" s="280" t="s">
        <v>112</v>
      </c>
      <c r="R9" s="280"/>
      <c r="S9" s="280"/>
      <c r="T9" s="280"/>
      <c r="U9" s="280"/>
      <c r="V9" s="81"/>
      <c r="W9" s="80"/>
      <c r="X9" s="280" t="s">
        <v>3</v>
      </c>
      <c r="Y9" s="280"/>
      <c r="Z9" s="280"/>
      <c r="AA9" s="280"/>
      <c r="AB9" s="280"/>
      <c r="AC9" s="81"/>
      <c r="AD9" s="80"/>
      <c r="AE9" s="281" t="s">
        <v>4</v>
      </c>
      <c r="AF9" s="281"/>
      <c r="AG9" s="281"/>
      <c r="AH9" s="281"/>
      <c r="AI9" s="281"/>
      <c r="AJ9" s="82"/>
      <c r="AK9" s="56"/>
      <c r="AL9" s="56"/>
      <c r="AM9" s="83">
        <f>IF(Z8&gt;0,1,0)</f>
        <v>0</v>
      </c>
      <c r="AN9" t="str">
        <f>IF(AM9=1,"Zadovoljava","")</f>
        <v/>
      </c>
      <c r="AO9" t="s">
        <v>157</v>
      </c>
    </row>
    <row r="10" spans="1:47" x14ac:dyDescent="0.25">
      <c r="A10" s="56"/>
      <c r="B10" s="71"/>
      <c r="C10" s="71"/>
      <c r="D10" s="71"/>
      <c r="E10" s="71" t="str">
        <f>IF(SUM($AM$6:$AM$10)&gt;1,IF(AM6&gt;0,AM11,""),"")</f>
        <v/>
      </c>
      <c r="F10" s="71"/>
      <c r="G10" s="71"/>
      <c r="H10" s="71" t="str">
        <f>IF(AQ47=6,"",IF($AO$8=0,$AM$11,""))</f>
        <v/>
      </c>
      <c r="I10" s="71"/>
      <c r="J10" s="72"/>
      <c r="K10" s="72"/>
      <c r="L10" s="71" t="str">
        <f>IF(SUM($AM$6:$AM$10)&gt;1,IF(AM7&gt;0,AM11,""),"")</f>
        <v/>
      </c>
      <c r="M10" s="72"/>
      <c r="N10" s="72"/>
      <c r="O10" s="71"/>
      <c r="P10" s="71"/>
      <c r="Q10" s="71"/>
      <c r="R10" s="71"/>
      <c r="S10" s="71" t="str">
        <f>IF(SUM($AM$6:$AM$10)&gt;1,IF(AM8&gt;0,AM11,""),"")</f>
        <v/>
      </c>
      <c r="T10" s="71"/>
      <c r="U10" s="71"/>
      <c r="V10" s="84"/>
      <c r="W10" s="71"/>
      <c r="X10" s="71"/>
      <c r="Y10" s="71"/>
      <c r="Z10" s="71" t="str">
        <f>IF(SUM($AM$6:$AM$10)&gt;1,IF(AM9&gt;0,AM11,""),"")</f>
        <v/>
      </c>
      <c r="AA10" s="71"/>
      <c r="AB10" s="71"/>
      <c r="AC10" s="71" t="str">
        <f>IF(AQ47=6,"",IF($AO$8=0,$AM$11,""))</f>
        <v/>
      </c>
      <c r="AD10" s="71"/>
      <c r="AE10" s="72"/>
      <c r="AF10" s="72"/>
      <c r="AG10" s="71" t="str">
        <f>IF(SUM($AM$6:$AM$10)&gt;1,IF(AM10&gt;0,AM11,""),"")</f>
        <v/>
      </c>
      <c r="AH10" s="72"/>
      <c r="AI10" s="72"/>
      <c r="AJ10" s="84"/>
      <c r="AK10" s="56"/>
      <c r="AL10" s="56"/>
      <c r="AM10">
        <f>IF(AG8&gt;0,1,0)</f>
        <v>0</v>
      </c>
      <c r="AN10" t="str">
        <f>IF(AM10=1,"Ne zadovoljava","")</f>
        <v/>
      </c>
      <c r="AO10" t="s">
        <v>159</v>
      </c>
    </row>
    <row r="11" spans="1:47" x14ac:dyDescent="0.25">
      <c r="A11" s="56"/>
      <c r="B11" s="170" t="str">
        <f>IF(AQ47=6,"",IF(SUM(AM6:AM10)&gt;1,AO10,IF(AO8=0,AO9,"")))</f>
        <v/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56"/>
      <c r="AL11" s="56"/>
      <c r="AM11" s="52" t="s">
        <v>86</v>
      </c>
      <c r="AN11" t="str">
        <f>IF(AM5&gt;1,"Greška",IF(AM6=1,AN6,IF(AM7=1,AN7,IF(AM8=1,AN8,IF(AM9=1,AN9,AN10)))))</f>
        <v/>
      </c>
      <c r="AO11">
        <f>'List 4.'!F78</f>
        <v>0</v>
      </c>
      <c r="AQ11">
        <f>IF(AN11=AO11,1,0)</f>
        <v>0</v>
      </c>
      <c r="AU11" s="138">
        <f>LEN(AN11)</f>
        <v>0</v>
      </c>
    </row>
    <row r="12" spans="1:47" x14ac:dyDescent="0.25">
      <c r="A12" s="2" t="s">
        <v>118</v>
      </c>
      <c r="AM12" s="52" t="s">
        <v>160</v>
      </c>
    </row>
    <row r="13" spans="1:47" x14ac:dyDescent="0.25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6"/>
      <c r="AU13" s="138">
        <f>LEN(A13)</f>
        <v>0</v>
      </c>
    </row>
    <row r="14" spans="1:47" x14ac:dyDescent="0.25">
      <c r="A14" s="177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9"/>
    </row>
    <row r="15" spans="1:47" x14ac:dyDescent="0.25">
      <c r="A15" s="177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9"/>
    </row>
    <row r="16" spans="1:47" x14ac:dyDescent="0.25">
      <c r="A16" s="177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9"/>
      <c r="AM16">
        <f>IF(AQ47=6,0,IF(AM19=1,1,0))</f>
        <v>0</v>
      </c>
    </row>
    <row r="17" spans="1:47" x14ac:dyDescent="0.25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9"/>
    </row>
    <row r="18" spans="1:47" x14ac:dyDescent="0.25">
      <c r="A18" s="177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9"/>
      <c r="AM18">
        <f>IF(A13&gt;0,1,0)</f>
        <v>0</v>
      </c>
      <c r="AQ18" s="128">
        <f>IF(AM19=1,IF(AM19=AM18,1,0),1)</f>
        <v>0</v>
      </c>
    </row>
    <row r="19" spans="1:47" x14ac:dyDescent="0.25">
      <c r="A19" s="177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9"/>
      <c r="AM19">
        <f>IF(AN11=AO11,0,1)</f>
        <v>1</v>
      </c>
    </row>
    <row r="20" spans="1:47" x14ac:dyDescent="0.25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2"/>
      <c r="AN20" t="s">
        <v>195</v>
      </c>
    </row>
    <row r="21" spans="1:47" x14ac:dyDescent="0.25">
      <c r="A21" s="279" t="str">
        <f>IF(AQ47=6,"",IF(AM19=1,IF(AM19=AM18,AN20,AM21&amp;" "&amp;AN21),AN20))</f>
        <v/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52" t="s">
        <v>86</v>
      </c>
      <c r="AN21" t="s">
        <v>196</v>
      </c>
    </row>
    <row r="22" spans="1:47" ht="7.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52"/>
      <c r="AN22" s="52" t="s">
        <v>220</v>
      </c>
      <c r="AO22" s="52" t="s">
        <v>221</v>
      </c>
    </row>
    <row r="23" spans="1:47" x14ac:dyDescent="0.25">
      <c r="A23" s="135" t="str">
        <f>IF(SUM(AM6:AM8)&gt;0,AN23,"")</f>
        <v/>
      </c>
      <c r="B23" s="134"/>
      <c r="C23" s="134"/>
      <c r="D23" s="134"/>
      <c r="E23" s="134"/>
      <c r="F23" s="134"/>
      <c r="G23" s="134"/>
      <c r="H23" s="134"/>
      <c r="I23" s="134"/>
      <c r="J23" s="134"/>
      <c r="K23" s="283"/>
      <c r="L23" s="283"/>
      <c r="M23" s="283"/>
      <c r="N23" s="173" t="str">
        <f>IF(SUM(AM6:AM8)&gt;0,IF(AM23=0,AN22,""),IF(AM25=0,AO22,""))</f>
        <v/>
      </c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52">
        <f>IF(SUM(AM6:AM8)&gt;0,IF(K23="DA",1,IF(K23="NE",1,0)),0)</f>
        <v>0</v>
      </c>
      <c r="AN23" t="s">
        <v>226</v>
      </c>
      <c r="AO23" t="str">
        <f>IF(SUM(AM9:AM10)&gt;0,"","DA")</f>
        <v>DA</v>
      </c>
      <c r="AT23" s="128">
        <f>IF(SUM(AM6:AM8)&gt;0,IF(AM23=1,1,0),IF(AM25=1,1,0))</f>
        <v>1</v>
      </c>
      <c r="AU23" s="138">
        <f>IF(K23=AO23,100*SUM(AM23:AM25),50*SUM(AM23:AM25))</f>
        <v>50</v>
      </c>
    </row>
    <row r="24" spans="1:47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52">
        <f>IF(K23&gt;0,1,0)</f>
        <v>0</v>
      </c>
      <c r="AO24" t="str">
        <f>IF(SUM(AM9:AM10)&gt;0,"","NE")</f>
        <v>NE</v>
      </c>
    </row>
    <row r="25" spans="1:47" x14ac:dyDescent="0.25">
      <c r="A25" s="285" t="str">
        <f>IF(AQ26=AR26,IF(AQ8=1,AN26,""),"")</f>
        <v/>
      </c>
      <c r="B25" s="285"/>
      <c r="C25" s="285"/>
      <c r="D25" s="285"/>
      <c r="E25" s="285"/>
      <c r="F25" s="285"/>
      <c r="G25" s="285"/>
      <c r="H25" s="284" t="str">
        <f>IF(AQ26=AR26,IF(AQ8=1,UPPER(AN11),""),"")</f>
        <v/>
      </c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104"/>
      <c r="AG25" s="104"/>
      <c r="AH25" s="104"/>
      <c r="AI25" s="104"/>
      <c r="AJ25" s="104"/>
      <c r="AK25" s="104"/>
      <c r="AL25" s="104"/>
      <c r="AM25" s="52">
        <f>IF(SUM(AM6:AM8)&gt;0,1,IF(K23="DA",0,IF(K23="NE",0,1)))</f>
        <v>1</v>
      </c>
      <c r="AO25" s="52" t="s">
        <v>86</v>
      </c>
      <c r="AR25" t="s">
        <v>152</v>
      </c>
      <c r="AU25" s="138">
        <f>LEN(H25)</f>
        <v>0</v>
      </c>
    </row>
    <row r="26" spans="1:47" x14ac:dyDescent="0.25">
      <c r="A26" s="285"/>
      <c r="B26" s="285"/>
      <c r="C26" s="285"/>
      <c r="D26" s="285"/>
      <c r="E26" s="285"/>
      <c r="F26" s="285"/>
      <c r="G26" s="285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104"/>
      <c r="AG26" s="104"/>
      <c r="AH26" s="104"/>
      <c r="AI26" s="104"/>
      <c r="AJ26" s="104"/>
      <c r="AK26" s="104"/>
      <c r="AL26" s="104"/>
      <c r="AM26" s="52"/>
      <c r="AN26" t="s">
        <v>167</v>
      </c>
      <c r="AP26" t="s">
        <v>218</v>
      </c>
      <c r="AQ26">
        <v>3</v>
      </c>
      <c r="AR26">
        <f>AQ18+AQ8+AQ2</f>
        <v>0</v>
      </c>
    </row>
    <row r="27" spans="1:47" ht="7.5" customHeight="1" x14ac:dyDescent="0.25">
      <c r="A27" s="124"/>
      <c r="B27" s="124"/>
      <c r="C27" s="124"/>
      <c r="D27" s="124"/>
      <c r="E27" s="124"/>
      <c r="F27" s="124"/>
      <c r="G27" s="124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04"/>
      <c r="AG27" s="104"/>
      <c r="AH27" s="104"/>
      <c r="AI27" s="104"/>
      <c r="AJ27" s="104"/>
      <c r="AK27" s="104"/>
      <c r="AL27" s="104"/>
      <c r="AM27">
        <f>IF($AQ$47=6,1,0)</f>
        <v>1</v>
      </c>
      <c r="AN27">
        <f>IF(AM27=1,1,IF(AS28=1,1,0))</f>
        <v>1</v>
      </c>
    </row>
    <row r="28" spans="1:47" x14ac:dyDescent="0.25">
      <c r="A28" s="286" t="s">
        <v>116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08"/>
      <c r="Y28" s="208"/>
      <c r="Z28" s="208"/>
      <c r="AA28" s="208"/>
      <c r="AB28" s="208"/>
      <c r="AC28" s="97" t="s">
        <v>117</v>
      </c>
      <c r="AD28" s="97"/>
      <c r="AE28" s="97"/>
      <c r="AM28" s="2">
        <f>IF(X28&gt;0,1,0)</f>
        <v>0</v>
      </c>
      <c r="AN28" s="97">
        <f>'List 4.'!C94</f>
        <v>0</v>
      </c>
      <c r="AP28">
        <f>AN28-X28</f>
        <v>0</v>
      </c>
      <c r="AQ28">
        <f>IFERROR(AP28,"greška")</f>
        <v>0</v>
      </c>
      <c r="AR28">
        <f>IF(X28&lt;AN28,0,1)</f>
        <v>1</v>
      </c>
      <c r="AS28" s="128">
        <f>IF(AQ28="greška",0,IF(AM28=1,IF(AR28=1,1,0),0))</f>
        <v>0</v>
      </c>
      <c r="AU28" s="138">
        <f>LEN(X28)*X28</f>
        <v>0</v>
      </c>
    </row>
    <row r="29" spans="1:47" x14ac:dyDescent="0.25">
      <c r="G29" s="270" t="str">
        <f>IF(AQ47=6,"",IF(AM28=0,AM29,IF(AQ28="greška",AO29,IF(AR28=0,AQ29,""))))</f>
        <v/>
      </c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M29" t="s">
        <v>217</v>
      </c>
      <c r="AO29" t="s">
        <v>207</v>
      </c>
      <c r="AQ29" t="s">
        <v>208</v>
      </c>
    </row>
    <row r="30" spans="1:47" x14ac:dyDescent="0.25">
      <c r="A30" t="s">
        <v>106</v>
      </c>
      <c r="C30" s="91"/>
      <c r="D30" s="54"/>
      <c r="E30" s="54" t="s">
        <v>108</v>
      </c>
      <c r="H30"/>
      <c r="L30" s="271" t="str">
        <f>IF(AQ47=6,"",IF(AM33=0,AN32,IF(AM30+AM32=2,AN30,"")))</f>
        <v/>
      </c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M30">
        <f>IF(C30&gt;0,1,0)</f>
        <v>0</v>
      </c>
      <c r="AN30" t="s">
        <v>161</v>
      </c>
      <c r="AU30" s="138">
        <f>IF(AM30=1,LEN(E30),LEN(E32))</f>
        <v>13</v>
      </c>
    </row>
    <row r="31" spans="1:47" ht="5.25" customHeight="1" x14ac:dyDescent="0.25">
      <c r="C31" s="56"/>
      <c r="D31" s="62"/>
      <c r="H3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</row>
    <row r="32" spans="1:47" x14ac:dyDescent="0.25">
      <c r="A32" t="s">
        <v>107</v>
      </c>
      <c r="C32" s="91"/>
      <c r="D32" s="54"/>
      <c r="E32" s="54" t="s">
        <v>109</v>
      </c>
      <c r="H32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M32">
        <f>IF(C32&gt;0,1,0)</f>
        <v>0</v>
      </c>
      <c r="AN32" t="s">
        <v>162</v>
      </c>
      <c r="AQ32" s="128">
        <f>IF(AM30+AM32=1,1,0)</f>
        <v>0</v>
      </c>
    </row>
    <row r="33" spans="1:47" ht="8.25" customHeight="1" x14ac:dyDescent="0.25">
      <c r="C33" s="62"/>
      <c r="H33"/>
      <c r="AM33">
        <f>SUM(AM30:AM32)</f>
        <v>0</v>
      </c>
    </row>
    <row r="34" spans="1:47" x14ac:dyDescent="0.25">
      <c r="A34" s="2" t="s">
        <v>113</v>
      </c>
      <c r="H34"/>
      <c r="O34" s="268" t="str">
        <f>IF(AQ39=1,"",AM34&amp;" "&amp;AN34&amp;" "&amp;AM34)</f>
        <v/>
      </c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M34" t="s">
        <v>93</v>
      </c>
      <c r="AN34" t="s">
        <v>158</v>
      </c>
    </row>
    <row r="35" spans="1:47" x14ac:dyDescent="0.2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6"/>
      <c r="AU35" s="138">
        <f>LEN(A35)</f>
        <v>0</v>
      </c>
    </row>
    <row r="36" spans="1:47" x14ac:dyDescent="0.2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9"/>
    </row>
    <row r="37" spans="1:47" x14ac:dyDescent="0.25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9"/>
    </row>
    <row r="38" spans="1:47" x14ac:dyDescent="0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9"/>
      <c r="AM38">
        <f>IF(AM32=0,1,IF(AM39&gt;0,1,0))</f>
        <v>1</v>
      </c>
    </row>
    <row r="39" spans="1:47" x14ac:dyDescent="0.25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  <c r="AM39">
        <f>IF(A35&gt;0,1,0)</f>
        <v>0</v>
      </c>
      <c r="AQ39" s="128">
        <f>IF(AM32=0,1,IF(AM39=1,1,0))</f>
        <v>1</v>
      </c>
    </row>
    <row r="40" spans="1:47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9"/>
    </row>
    <row r="41" spans="1:47" x14ac:dyDescent="0.25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2"/>
    </row>
    <row r="42" spans="1:47" x14ac:dyDescent="0.25">
      <c r="A42" s="288" t="s">
        <v>110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  <c r="AM42" t="s">
        <v>219</v>
      </c>
    </row>
    <row r="43" spans="1:47" x14ac:dyDescent="0.25">
      <c r="H43"/>
      <c r="AC43" s="131" t="str">
        <f>IF(AM30&gt;AM32,IF(AM44=1,AM42,""),"")</f>
        <v/>
      </c>
      <c r="AM43">
        <f>IF($AQ$47=6,1,0)</f>
        <v>1</v>
      </c>
      <c r="AN43">
        <f>IF(AM43=1,1,IF(AS44=1,1,0))</f>
        <v>1</v>
      </c>
      <c r="AS43" s="21">
        <f>IF(AM30&gt;AM32,IF(AM44=1,0,1),1)</f>
        <v>1</v>
      </c>
    </row>
    <row r="44" spans="1:47" x14ac:dyDescent="0.25">
      <c r="A44" s="267" t="str">
        <f>IF(AM30&gt;AM32,"","Primjedba državnog službenika/namještanika zajednički je razmotrena dana:")</f>
        <v>Primjedba državnog službenika/namještanika zajednički je razmotrena dana: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9"/>
      <c r="AA44" s="269"/>
      <c r="AB44" s="269"/>
      <c r="AC44" s="269"/>
      <c r="AD44" s="269"/>
      <c r="AE44" s="269"/>
      <c r="AM44" s="2">
        <f>IF(Z44&gt;0,1,0)</f>
        <v>0</v>
      </c>
      <c r="AN44" s="97">
        <f>X28</f>
        <v>0</v>
      </c>
      <c r="AP44">
        <f>AN44-Z44</f>
        <v>0</v>
      </c>
      <c r="AQ44">
        <f>IFERROR(AP44,"greška")</f>
        <v>0</v>
      </c>
      <c r="AR44">
        <f>IF(Z44&lt;AN44,0,1)</f>
        <v>1</v>
      </c>
      <c r="AS44" s="128">
        <f>IF(AM30&gt;AM32,1,IF(AQ44="greška",0,IF(AM44=1,IF(AR44=1,1,0),0)))</f>
        <v>0</v>
      </c>
      <c r="AU44" s="138">
        <f>LEN(Z44)*Z44</f>
        <v>0</v>
      </c>
    </row>
    <row r="45" spans="1:47" x14ac:dyDescent="0.25">
      <c r="H45"/>
      <c r="J45" s="270" t="str">
        <f>IF(AQ47=6,"",IF(AM30&gt;AM32,"",IF(AM44=0,AM29,IF(AQ44="greška",AO29,IF(AR44=0,AM45,"")))))</f>
        <v/>
      </c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M45" t="s">
        <v>211</v>
      </c>
    </row>
    <row r="46" spans="1:47" ht="5.25" customHeight="1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52"/>
    </row>
    <row r="47" spans="1:47" ht="29.25" customHeight="1" x14ac:dyDescent="0.25">
      <c r="A47" s="124"/>
      <c r="B47" s="154" t="s">
        <v>64</v>
      </c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U47" s="277" t="s">
        <v>124</v>
      </c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M47" s="2"/>
      <c r="AN47">
        <f>IF(AM47=1,1,IF(AQ47=4,1,0))</f>
        <v>0</v>
      </c>
      <c r="AP47" t="s">
        <v>154</v>
      </c>
      <c r="AQ47" s="128">
        <f>IF(AM49+AM44+AQ32+AM28+AQ18+AQ8=0,6,0)</f>
        <v>6</v>
      </c>
    </row>
    <row r="48" spans="1:47" ht="18.75" customHeight="1" x14ac:dyDescent="0.25">
      <c r="A48" s="190" t="str">
        <f>IF(AQ47=6,"",IF(AM49=1,"",AN49&amp;" "&amp;AM52))</f>
        <v/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M48">
        <f>IF(AM49=1,1,IF($AQ$47=6,1,0))</f>
        <v>1</v>
      </c>
      <c r="AN48" t="s">
        <v>153</v>
      </c>
      <c r="AO48">
        <v>10</v>
      </c>
      <c r="AP48">
        <f>AQ18+AQ8+AQ2+AQ47+AM49+AQ32+AQ39+AS44+AS28+AS43+AT23</f>
        <v>9</v>
      </c>
    </row>
    <row r="49" spans="1:47" ht="15" customHeight="1" x14ac:dyDescent="0.25">
      <c r="A49" s="190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M49">
        <f>IF(U50&gt;0,1,0)</f>
        <v>0</v>
      </c>
      <c r="AN49" t="s">
        <v>192</v>
      </c>
    </row>
    <row r="50" spans="1:47" x14ac:dyDescent="0.25">
      <c r="B50" s="287" t="str">
        <f>'List 1.'!M13</f>
        <v xml:space="preserve"> 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126"/>
      <c r="T50" s="126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70"/>
      <c r="AM50" s="52" t="s">
        <v>86</v>
      </c>
      <c r="AN50" t="s">
        <v>151</v>
      </c>
      <c r="AU50" s="138">
        <f>LEN(U50)</f>
        <v>0</v>
      </c>
    </row>
    <row r="51" spans="1:47" x14ac:dyDescent="0.25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AM51" s="52" t="s">
        <v>156</v>
      </c>
    </row>
    <row r="52" spans="1:47" x14ac:dyDescent="0.25">
      <c r="A52" s="151" t="str">
        <f>IF(AO48=AP48,AS52&amp;TEXT(AU52,"0.000"),AN52)</f>
        <v>List 8. nije ispravno popunjen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52" t="s">
        <v>93</v>
      </c>
      <c r="AN52" t="s">
        <v>180</v>
      </c>
      <c r="AS52" t="s">
        <v>237</v>
      </c>
      <c r="AU52" s="138">
        <f>AU50+AU44+AU35+AU30+AU28+AU25+AU23+AU13+AU11</f>
        <v>63</v>
      </c>
    </row>
  </sheetData>
  <sheetProtection algorithmName="SHA-512" hashValue="IeR+Y65jI8mQlHZYQIhMhhodiXXsa8MR2i+NksbchPvJKRH8PrXEiK9jftxLyQ00tHABj+o3Un0tfLN/qFfCuQ==" saltValue="3Wa5K5b3OScpj3VhIp/FDA==" spinCount="100000" sheet="1" objects="1" scenarios="1" selectLockedCells="1"/>
  <mergeCells count="30">
    <mergeCell ref="J45:AD45"/>
    <mergeCell ref="B47:R47"/>
    <mergeCell ref="A52:AL52"/>
    <mergeCell ref="H25:AE26"/>
    <mergeCell ref="A25:G26"/>
    <mergeCell ref="U47:AK47"/>
    <mergeCell ref="U50:AK50"/>
    <mergeCell ref="A28:W28"/>
    <mergeCell ref="X28:AB28"/>
    <mergeCell ref="G29:AA29"/>
    <mergeCell ref="L30:AK32"/>
    <mergeCell ref="O34:AK34"/>
    <mergeCell ref="A35:AL41"/>
    <mergeCell ref="B50:R50"/>
    <mergeCell ref="A42:AL42"/>
    <mergeCell ref="A48:AK49"/>
    <mergeCell ref="A44:Y44"/>
    <mergeCell ref="Z44:AE44"/>
    <mergeCell ref="A21:AL21"/>
    <mergeCell ref="J1:AL2"/>
    <mergeCell ref="A13:AL20"/>
    <mergeCell ref="C9:G9"/>
    <mergeCell ref="J9:N9"/>
    <mergeCell ref="Q9:U9"/>
    <mergeCell ref="X9:AB9"/>
    <mergeCell ref="AE9:AI9"/>
    <mergeCell ref="B11:AJ11"/>
    <mergeCell ref="J6:AJ6"/>
    <mergeCell ref="K23:M23"/>
    <mergeCell ref="N23:AL24"/>
  </mergeCells>
  <conditionalFormatting sqref="A2">
    <cfRule type="containsText" dxfId="41" priority="71" operator="containsText" text="Osobni podaci iz Obrazca 1.A nisu popunjeni">
      <formula>NOT(ISERROR(SEARCH("Osobni podaci iz Obrazca 1.A nisu popunjeni",A2)))</formula>
    </cfRule>
  </conditionalFormatting>
  <conditionalFormatting sqref="A4:A5">
    <cfRule type="containsText" dxfId="40" priority="36" operator="containsText" text="Osobni podaci iz Obrazca 1.A nisu popunjeni">
      <formula>NOT(ISERROR(SEARCH("Osobni podaci iz Obrazca 1.A nisu popunjeni",A4)))</formula>
    </cfRule>
  </conditionalFormatting>
  <conditionalFormatting sqref="A13:AL20">
    <cfRule type="cellIs" dxfId="39" priority="665" operator="lessThan">
      <formula>$AM$16</formula>
    </cfRule>
  </conditionalFormatting>
  <conditionalFormatting sqref="A21:AL22 A23:K23 N23">
    <cfRule type="containsText" dxfId="38" priority="10" operator="containsText" text="↑">
      <formula>NOT(ISERROR(SEARCH("↑",A21)))</formula>
    </cfRule>
  </conditionalFormatting>
  <conditionalFormatting sqref="A35:AL41">
    <cfRule type="expression" dxfId="37" priority="11">
      <formula>$AM$38&lt;1</formula>
    </cfRule>
  </conditionalFormatting>
  <conditionalFormatting sqref="A52:AL52">
    <cfRule type="containsText" dxfId="36" priority="1" operator="containsText" text="kontrolni broj">
      <formula>NOT(ISERROR(SEARCH("kontrolni broj",A52)))</formula>
    </cfRule>
    <cfRule type="containsText" dxfId="35" priority="37" operator="containsText" text="ispravno">
      <formula>NOT(ISERROR(SEARCH("ispravno",A52)))</formula>
    </cfRule>
  </conditionalFormatting>
  <conditionalFormatting sqref="C30">
    <cfRule type="containsText" dxfId="34" priority="4" operator="containsText" text="x">
      <formula>NOT(ISERROR(SEARCH("x",C30)))</formula>
    </cfRule>
  </conditionalFormatting>
  <conditionalFormatting sqref="C32">
    <cfRule type="containsText" dxfId="33" priority="3" operator="containsText" text="x">
      <formula>NOT(ISERROR(SEARCH("x",C32)))</formula>
    </cfRule>
  </conditionalFormatting>
  <conditionalFormatting sqref="C9:G9">
    <cfRule type="expression" dxfId="32" priority="49">
      <formula>$AM$6=1</formula>
    </cfRule>
  </conditionalFormatting>
  <conditionalFormatting sqref="E8">
    <cfRule type="containsText" dxfId="31" priority="9" operator="containsText" text="x">
      <formula>NOT(ISERROR(SEARCH("x",E8)))</formula>
    </cfRule>
  </conditionalFormatting>
  <conditionalFormatting sqref="E30">
    <cfRule type="expression" dxfId="30" priority="24">
      <formula>$AM$30=1</formula>
    </cfRule>
  </conditionalFormatting>
  <conditionalFormatting sqref="E32">
    <cfRule type="expression" dxfId="29" priority="23">
      <formula>$AM$32=1</formula>
    </cfRule>
  </conditionalFormatting>
  <conditionalFormatting sqref="F3:F5 F12 F52:F1048576">
    <cfRule type="containsText" dxfId="28" priority="78" operator="containsText" text="ne zadovoljava">
      <formula>NOT(ISERROR(SEARCH("ne zadovoljava",F3)))</formula>
    </cfRule>
    <cfRule type="containsText" dxfId="27" priority="76" operator="containsText" text="uspješan">
      <formula>NOT(ISERROR(SEARCH("uspješan",F3)))</formula>
    </cfRule>
    <cfRule type="containsText" dxfId="26" priority="79" operator="containsText" text="zadovoljava">
      <formula>NOT(ISERROR(SEARCH("zadovoljava",F3)))</formula>
    </cfRule>
    <cfRule type="containsText" dxfId="25" priority="81" operator="containsText" text="Nije primjenjivo">
      <formula>NOT(ISERROR(SEARCH("Nije primjenjivo",F3)))</formula>
    </cfRule>
  </conditionalFormatting>
  <conditionalFormatting sqref="F52:F1048576 F3:F5 F12">
    <cfRule type="containsText" dxfId="24" priority="74" operator="containsText" text="naročito uspješan">
      <formula>NOT(ISERROR(SEARCH("naročito uspješan",F3)))</formula>
    </cfRule>
  </conditionalFormatting>
  <conditionalFormatting sqref="G3:G5 G52:G1048576">
    <cfRule type="containsText" dxfId="23" priority="82" operator="containsText" text="N/P">
      <formula>NOT(ISERROR(SEARCH("N/P",G3)))</formula>
    </cfRule>
  </conditionalFormatting>
  <conditionalFormatting sqref="G52:G1048576 G3:G5">
    <cfRule type="cellIs" dxfId="22" priority="75" operator="equal">
      <formula>30</formula>
    </cfRule>
    <cfRule type="cellIs" dxfId="21" priority="77" operator="equal">
      <formula>20</formula>
    </cfRule>
    <cfRule type="cellIs" dxfId="20" priority="80" operator="equal">
      <formula>10</formula>
    </cfRule>
    <cfRule type="cellIs" dxfId="19" priority="73" operator="equal">
      <formula>40</formula>
    </cfRule>
  </conditionalFormatting>
  <conditionalFormatting sqref="H52:H1048576 H3:H5">
    <cfRule type="containsText" dxfId="18" priority="72" operator="containsText" text="potrebno je ">
      <formula>NOT(ISERROR(SEARCH("potrebno je ",H3)))</formula>
    </cfRule>
  </conditionalFormatting>
  <conditionalFormatting sqref="H25:AE27">
    <cfRule type="containsText" dxfId="17" priority="34" operator="containsText" text="ne zadovoljava">
      <formula>NOT(ISERROR(SEARCH("ne zadovoljava",H25)))</formula>
    </cfRule>
    <cfRule type="containsText" dxfId="16" priority="33" operator="containsText" text="uspješan">
      <formula>NOT(ISERROR(SEARCH("uspješan",H25)))</formula>
    </cfRule>
    <cfRule type="containsText" dxfId="15" priority="32" operator="containsText" text="naročito uspješan">
      <formula>NOT(ISERROR(SEARCH("naročito uspješan",H25)))</formula>
    </cfRule>
    <cfRule type="containsText" dxfId="14" priority="35" operator="containsText" text="zadovoljava">
      <formula>NOT(ISERROR(SEARCH("zadovoljava",H25)))</formula>
    </cfRule>
    <cfRule type="containsText" dxfId="13" priority="31" operator="containsText" text="izvrstan">
      <formula>NOT(ISERROR(SEARCH("izvrstan",H25)))</formula>
    </cfRule>
  </conditionalFormatting>
  <conditionalFormatting sqref="J1">
    <cfRule type="containsText" dxfId="12" priority="70" operator="containsText" text="osobni podaci">
      <formula>NOT(ISERROR(SEARCH("osobni podaci",J1)))</formula>
    </cfRule>
  </conditionalFormatting>
  <conditionalFormatting sqref="J9:N9">
    <cfRule type="expression" dxfId="11" priority="48">
      <formula>$AM$7=1</formula>
    </cfRule>
  </conditionalFormatting>
  <conditionalFormatting sqref="K23:M23">
    <cfRule type="expression" dxfId="10" priority="2">
      <formula>$AM$6+$AM$7+$AM$8&gt;0</formula>
    </cfRule>
  </conditionalFormatting>
  <conditionalFormatting sqref="L8">
    <cfRule type="containsText" dxfId="9" priority="8" operator="containsText" text="x">
      <formula>NOT(ISERROR(SEARCH("x",L8)))</formula>
    </cfRule>
  </conditionalFormatting>
  <conditionalFormatting sqref="Q9:U9">
    <cfRule type="expression" dxfId="8" priority="47">
      <formula>$AM$8=1</formula>
    </cfRule>
  </conditionalFormatting>
  <conditionalFormatting sqref="S8">
    <cfRule type="containsText" dxfId="7" priority="7" operator="containsText" text="x">
      <formula>NOT(ISERROR(SEARCH("x",S8)))</formula>
    </cfRule>
  </conditionalFormatting>
  <conditionalFormatting sqref="U50:AK50">
    <cfRule type="expression" dxfId="6" priority="30">
      <formula>$AM$48&lt;1</formula>
    </cfRule>
  </conditionalFormatting>
  <conditionalFormatting sqref="X28">
    <cfRule type="expression" dxfId="5" priority="29">
      <formula>$AN$27&lt;1</formula>
    </cfRule>
  </conditionalFormatting>
  <conditionalFormatting sqref="X9:AB9">
    <cfRule type="expression" dxfId="4" priority="46">
      <formula>$AM$9=1</formula>
    </cfRule>
  </conditionalFormatting>
  <conditionalFormatting sqref="Z8">
    <cfRule type="containsText" dxfId="3" priority="6" operator="containsText" text="x">
      <formula>NOT(ISERROR(SEARCH("x",Z8)))</formula>
    </cfRule>
  </conditionalFormatting>
  <conditionalFormatting sqref="Z44">
    <cfRule type="expression" dxfId="2" priority="28">
      <formula>$AN$43&lt;1</formula>
    </cfRule>
  </conditionalFormatting>
  <conditionalFormatting sqref="AE9:AI9">
    <cfRule type="expression" dxfId="1" priority="45">
      <formula>$AM$10=1</formula>
    </cfRule>
  </conditionalFormatting>
  <conditionalFormatting sqref="AG8">
    <cfRule type="containsText" dxfId="0" priority="5" operator="containsText" text="x">
      <formula>NOT(ISERROR(SEARCH("x",AG8)))</formula>
    </cfRule>
  </conditionalFormatting>
  <dataValidations count="5">
    <dataValidation type="textLength" operator="lessThan" allowBlank="1" showInputMessage="1" showErrorMessage="1" errorTitle="Duljina teksta" error="Maksimalan broj znakova s prazninama je 845" sqref="A13:AL20" xr:uid="{4A85C6D3-F29B-451B-9F22-EA790020A34A}">
      <formula1>846</formula1>
    </dataValidation>
    <dataValidation type="textLength" operator="lessThan" allowBlank="1" showInputMessage="1" showErrorMessage="1" errorTitle="Duljina teksta" error="Maksimalan broj znakova s razmacima je 735" sqref="A35:AL41" xr:uid="{72209E2C-40A8-462F-B9E1-DF769A157178}">
      <formula1>736</formula1>
    </dataValidation>
    <dataValidation type="date" operator="greaterThan" allowBlank="1" showInputMessage="1" showErrorMessage="1" errorTitle="Format datuma" error="- Datum je potrebno upisati u formatu dd.mm.yyyy ili d/m/yyyy_x000a_- Nakon godine ne upisivati točku_x000a_- Datum ne može biti stariji od 1.1.2024" sqref="X28:AB28 Z44:AE44" xr:uid="{77BA6719-757F-4A64-B081-00365896D1F5}">
      <formula1>45291</formula1>
    </dataValidation>
    <dataValidation type="textLength" operator="equal" allowBlank="1" showInputMessage="1" showErrorMessage="1" error="Moguće je unijeti samo jedan znak. Odabrano polje potrebno je označiti slovom &quot;x&quot;" promptTitle="x" prompt="Odabrano polje potrebno je označiti slovom &quot;x&quot;" sqref="E8 L8 S8 Z8 AG8 C30 C32" xr:uid="{91DC7890-CAAB-4DAB-AA28-B6469641ADC0}">
      <formula1>1</formula1>
    </dataValidation>
    <dataValidation type="list" allowBlank="1" showInputMessage="1" showErrorMessage="1" sqref="K23:M23" xr:uid="{E242B374-454B-47FC-95C3-ECE07BB36A85}">
      <formula1>$AO$23:$AO$24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>
    <oddHeader>&amp;LIzvješće o učinkovitosti rada - &amp;"-,Podebljano"List 8.&amp;"-,Uobičajeno" - Konačni prijedlog ocjene -&amp;"-,Podebljano" &amp;"-,Uobičajeno"(popunjava se do 31. siječnja)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/>
  <dimension ref="A1:L53"/>
  <sheetViews>
    <sheetView topLeftCell="A22" workbookViewId="0">
      <selection activeCell="B47" sqref="B47"/>
    </sheetView>
  </sheetViews>
  <sheetFormatPr defaultRowHeight="15" x14ac:dyDescent="0.25"/>
  <cols>
    <col min="1" max="1" width="19" customWidth="1"/>
    <col min="2" max="2" width="10.28515625" customWidth="1"/>
    <col min="4" max="4" width="20.140625" customWidth="1"/>
    <col min="8" max="8" width="17" bestFit="1" customWidth="1"/>
  </cols>
  <sheetData>
    <row r="1" spans="1:12" x14ac:dyDescent="0.25">
      <c r="B1">
        <v>0</v>
      </c>
    </row>
    <row r="2" spans="1:12" x14ac:dyDescent="0.25">
      <c r="A2" t="s">
        <v>18</v>
      </c>
      <c r="B2">
        <v>1</v>
      </c>
      <c r="D2" t="s">
        <v>39</v>
      </c>
      <c r="E2" t="s">
        <v>40</v>
      </c>
      <c r="G2" t="s">
        <v>67</v>
      </c>
      <c r="H2">
        <v>0</v>
      </c>
    </row>
    <row r="3" spans="1:12" x14ac:dyDescent="0.25">
      <c r="A3" t="s">
        <v>19</v>
      </c>
      <c r="B3">
        <v>2</v>
      </c>
      <c r="E3" t="s">
        <v>41</v>
      </c>
      <c r="G3" t="s">
        <v>68</v>
      </c>
      <c r="H3">
        <v>1</v>
      </c>
    </row>
    <row r="4" spans="1:12" x14ac:dyDescent="0.25">
      <c r="G4" t="s">
        <v>69</v>
      </c>
      <c r="H4">
        <v>2</v>
      </c>
    </row>
    <row r="5" spans="1:12" x14ac:dyDescent="0.25">
      <c r="A5" t="s">
        <v>20</v>
      </c>
      <c r="D5" t="s">
        <v>119</v>
      </c>
      <c r="E5">
        <v>1</v>
      </c>
    </row>
    <row r="6" spans="1:12" x14ac:dyDescent="0.25">
      <c r="A6" t="s">
        <v>21</v>
      </c>
      <c r="B6">
        <v>1</v>
      </c>
      <c r="D6" t="s">
        <v>120</v>
      </c>
      <c r="E6">
        <v>2</v>
      </c>
    </row>
    <row r="7" spans="1:12" x14ac:dyDescent="0.25">
      <c r="A7" t="s">
        <v>22</v>
      </c>
      <c r="B7">
        <v>2</v>
      </c>
    </row>
    <row r="9" spans="1:12" ht="30" x14ac:dyDescent="0.25">
      <c r="A9" s="23" t="s">
        <v>44</v>
      </c>
      <c r="B9" s="23" t="s">
        <v>29</v>
      </c>
      <c r="D9" s="23" t="s">
        <v>54</v>
      </c>
      <c r="E9" s="23"/>
      <c r="H9" s="23" t="s">
        <v>146</v>
      </c>
      <c r="I9" s="23"/>
    </row>
    <row r="10" spans="1:12" x14ac:dyDescent="0.25">
      <c r="A10" s="21"/>
      <c r="B10" s="22"/>
      <c r="D10" s="21"/>
      <c r="E10" s="22"/>
      <c r="H10" s="21" t="s">
        <v>142</v>
      </c>
      <c r="I10" s="22">
        <v>40</v>
      </c>
      <c r="L10" s="51"/>
    </row>
    <row r="11" spans="1:12" x14ac:dyDescent="0.25">
      <c r="A11" s="21" t="s">
        <v>1</v>
      </c>
      <c r="B11" s="22">
        <v>40</v>
      </c>
      <c r="D11" s="21" t="str">
        <f>IF('List 4.'!$E$2=Podaci!$B$3,"",Podaci!A11)</f>
        <v>Naročito uspješan</v>
      </c>
      <c r="E11" s="22">
        <v>40</v>
      </c>
      <c r="H11" s="21" t="s">
        <v>139</v>
      </c>
      <c r="I11" s="22">
        <v>40</v>
      </c>
      <c r="L11" s="51"/>
    </row>
    <row r="12" spans="1:12" x14ac:dyDescent="0.25">
      <c r="A12" s="21" t="s">
        <v>2</v>
      </c>
      <c r="B12" s="22">
        <v>30</v>
      </c>
      <c r="D12" s="21" t="str">
        <f>IF('List 4.'!$E$2=Podaci!$B$3,"",Podaci!A12)</f>
        <v xml:space="preserve">Uspješan </v>
      </c>
      <c r="E12" s="22">
        <v>30</v>
      </c>
      <c r="H12" s="21" t="s">
        <v>145</v>
      </c>
      <c r="I12" s="22">
        <v>30</v>
      </c>
      <c r="L12" s="51"/>
    </row>
    <row r="13" spans="1:12" x14ac:dyDescent="0.25">
      <c r="A13" s="21" t="s">
        <v>3</v>
      </c>
      <c r="B13" s="22">
        <v>20</v>
      </c>
      <c r="D13" s="21" t="str">
        <f>IF('List 4.'!$E$2=Podaci!$B$3,"",Podaci!A13)</f>
        <v>Zadovoljava</v>
      </c>
      <c r="E13" s="22">
        <v>20</v>
      </c>
      <c r="H13" s="21" t="s">
        <v>144</v>
      </c>
      <c r="I13" s="22">
        <v>20</v>
      </c>
      <c r="L13" s="51"/>
    </row>
    <row r="14" spans="1:12" x14ac:dyDescent="0.25">
      <c r="A14" s="21" t="s">
        <v>4</v>
      </c>
      <c r="B14" s="22">
        <v>10</v>
      </c>
      <c r="D14" s="21" t="str">
        <f>IF('List 4.'!$E$2=Podaci!$B$3,"",Podaci!A14)</f>
        <v>Ne zadovoljava</v>
      </c>
      <c r="E14" s="22">
        <v>10</v>
      </c>
      <c r="H14" s="21" t="s">
        <v>143</v>
      </c>
      <c r="I14" s="22">
        <v>10</v>
      </c>
      <c r="L14" s="51"/>
    </row>
    <row r="15" spans="1:12" x14ac:dyDescent="0.25">
      <c r="A15" s="21" t="s">
        <v>42</v>
      </c>
      <c r="B15" s="22" t="s">
        <v>43</v>
      </c>
    </row>
    <row r="16" spans="1:12" x14ac:dyDescent="0.25">
      <c r="B16" s="20"/>
    </row>
    <row r="17" spans="1:7" x14ac:dyDescent="0.25">
      <c r="A17" t="s">
        <v>181</v>
      </c>
    </row>
    <row r="18" spans="1:7" x14ac:dyDescent="0.25">
      <c r="A18" s="8" t="s">
        <v>33</v>
      </c>
      <c r="B18" s="8">
        <v>2</v>
      </c>
      <c r="C18" s="8"/>
      <c r="D18" s="9"/>
      <c r="E18" s="8">
        <v>1</v>
      </c>
      <c r="F18" s="8"/>
      <c r="G18" s="8"/>
    </row>
    <row r="19" spans="1:7" x14ac:dyDescent="0.25">
      <c r="A19" s="8"/>
      <c r="B19" s="10" t="s">
        <v>19</v>
      </c>
      <c r="C19" s="10"/>
      <c r="D19" s="11"/>
      <c r="E19" s="12" t="s">
        <v>18</v>
      </c>
      <c r="F19" s="8"/>
      <c r="G19" s="11"/>
    </row>
    <row r="20" spans="1:7" x14ac:dyDescent="0.25">
      <c r="A20" s="8" t="s">
        <v>24</v>
      </c>
      <c r="B20" s="8" t="s">
        <v>26</v>
      </c>
      <c r="C20" s="8" t="s">
        <v>27</v>
      </c>
      <c r="D20" s="11" t="s">
        <v>34</v>
      </c>
      <c r="E20" s="13" t="s">
        <v>26</v>
      </c>
      <c r="F20" s="8" t="s">
        <v>27</v>
      </c>
      <c r="G20" s="11" t="s">
        <v>34</v>
      </c>
    </row>
    <row r="21" spans="1:7" x14ac:dyDescent="0.25">
      <c r="A21" t="s">
        <v>25</v>
      </c>
      <c r="D21" s="11"/>
      <c r="E21" s="14"/>
      <c r="G21" s="11"/>
    </row>
    <row r="22" spans="1:7" x14ac:dyDescent="0.25">
      <c r="A22" t="s">
        <v>1</v>
      </c>
      <c r="B22" s="15">
        <v>88.25</v>
      </c>
      <c r="C22" s="15">
        <v>100</v>
      </c>
      <c r="D22" s="16">
        <f>C22-B22</f>
        <v>11.75</v>
      </c>
      <c r="E22" s="17">
        <v>88.75</v>
      </c>
      <c r="F22" s="15">
        <v>100</v>
      </c>
      <c r="G22" s="16">
        <f>F22-E22</f>
        <v>11.25</v>
      </c>
    </row>
    <row r="23" spans="1:7" x14ac:dyDescent="0.25">
      <c r="A23" t="s">
        <v>112</v>
      </c>
      <c r="B23" s="15">
        <v>63.25</v>
      </c>
      <c r="C23" s="15">
        <v>88.24</v>
      </c>
      <c r="D23" s="16">
        <f>C23-B23</f>
        <v>24.989999999999995</v>
      </c>
      <c r="E23" s="17">
        <v>63.75</v>
      </c>
      <c r="F23" s="15">
        <v>88.74</v>
      </c>
      <c r="G23" s="16">
        <f>F23-E23</f>
        <v>24.989999999999995</v>
      </c>
    </row>
    <row r="24" spans="1:7" x14ac:dyDescent="0.25">
      <c r="A24" t="s">
        <v>3</v>
      </c>
      <c r="B24" s="15">
        <v>38.25</v>
      </c>
      <c r="C24" s="15">
        <v>63.24</v>
      </c>
      <c r="D24" s="16">
        <f>C24-B24</f>
        <v>24.990000000000002</v>
      </c>
      <c r="E24" s="17">
        <v>38.75</v>
      </c>
      <c r="F24" s="15">
        <v>63.74</v>
      </c>
      <c r="G24" s="16">
        <f>F24-E24</f>
        <v>24.990000000000002</v>
      </c>
    </row>
    <row r="25" spans="1:7" x14ac:dyDescent="0.25">
      <c r="A25" t="s">
        <v>4</v>
      </c>
      <c r="B25" s="15">
        <v>25</v>
      </c>
      <c r="C25" s="15">
        <v>38.24</v>
      </c>
      <c r="D25" s="16">
        <f>C25-B25</f>
        <v>13.240000000000002</v>
      </c>
      <c r="E25" s="17">
        <v>25</v>
      </c>
      <c r="F25" s="15">
        <v>38.74</v>
      </c>
      <c r="G25" s="16">
        <f>F25-E25</f>
        <v>13.740000000000002</v>
      </c>
    </row>
    <row r="27" spans="1:7" x14ac:dyDescent="0.25">
      <c r="A27" t="s">
        <v>35</v>
      </c>
      <c r="B27">
        <f>IF('List 1.'!$K$19=Podaci!B18,'List 4.'!$I$71,0)</f>
        <v>0</v>
      </c>
      <c r="E27">
        <f>IF('List 1.'!K19=Podaci!E18,'List 4.'!$I$71,0)</f>
        <v>0</v>
      </c>
    </row>
    <row r="28" spans="1:7" x14ac:dyDescent="0.25">
      <c r="A28" t="s">
        <v>36</v>
      </c>
      <c r="B28">
        <f>IF('List 4.'!$J$26&gt;0,C24,IF('List 4.'!$J$40&gt;1,C24,IF('List 4.'!$J$40=1,C23,C22)))</f>
        <v>100</v>
      </c>
      <c r="E28">
        <f>IF('List 4.'!$J$26+'List 4.'!$J$56&gt;0,F24,IF('List 4.'!$J$40&gt;1,F24,IF('List 4.'!$J$40=1,F23,F22)))</f>
        <v>100</v>
      </c>
    </row>
    <row r="29" spans="1:7" x14ac:dyDescent="0.25">
      <c r="A29" s="18" t="s">
        <v>37</v>
      </c>
      <c r="B29" s="19">
        <f>IF(B28&lt;B27,B28,B27)</f>
        <v>0</v>
      </c>
      <c r="C29" s="18"/>
      <c r="D29" s="18"/>
      <c r="E29" s="19">
        <f>IF(E28&lt;E27,E28,E27)</f>
        <v>0</v>
      </c>
    </row>
    <row r="30" spans="1:7" x14ac:dyDescent="0.25">
      <c r="B30" s="2"/>
    </row>
    <row r="31" spans="1:7" x14ac:dyDescent="0.25">
      <c r="B31" t="str">
        <f>IF(B29&lt;B24,$A$25,IF(B29&lt;B23,$A$24,IF(B29&lt;B22,$A$23,$A$22)))</f>
        <v>Ne zadovoljava</v>
      </c>
      <c r="E31" t="str">
        <f>IF(E29&lt;E24,$A$25,IF(E29&lt;E23,$A$24,IF(E29&lt;E22,$A$23,$A$22)))</f>
        <v>Ne zadovoljava</v>
      </c>
    </row>
    <row r="33" spans="1:7" x14ac:dyDescent="0.25">
      <c r="A33" t="s">
        <v>47</v>
      </c>
    </row>
    <row r="34" spans="1:7" x14ac:dyDescent="0.25">
      <c r="A34" t="str">
        <f>IF('List 1.'!$K$19=Podaci!B18,Podaci!B31,Podaci!E31)</f>
        <v>Ne zadovoljava</v>
      </c>
    </row>
    <row r="35" spans="1:7" x14ac:dyDescent="0.25">
      <c r="A35" t="str">
        <f>IF(A34="Naročito uspješan","Izvrstan","")</f>
        <v/>
      </c>
    </row>
    <row r="36" spans="1:7" x14ac:dyDescent="0.25">
      <c r="A36" t="s">
        <v>182</v>
      </c>
    </row>
    <row r="37" spans="1:7" x14ac:dyDescent="0.25">
      <c r="A37" s="8" t="s">
        <v>33</v>
      </c>
      <c r="B37" s="8">
        <v>2</v>
      </c>
      <c r="C37" s="8"/>
      <c r="D37" s="9"/>
      <c r="E37" s="8">
        <v>1</v>
      </c>
      <c r="F37" s="8"/>
      <c r="G37" s="8"/>
    </row>
    <row r="38" spans="1:7" x14ac:dyDescent="0.25">
      <c r="A38" s="8"/>
      <c r="B38" s="10" t="s">
        <v>19</v>
      </c>
      <c r="C38" s="10"/>
      <c r="D38" s="11"/>
      <c r="E38" s="12" t="s">
        <v>18</v>
      </c>
      <c r="F38" s="8"/>
      <c r="G38" s="11"/>
    </row>
    <row r="39" spans="1:7" x14ac:dyDescent="0.25">
      <c r="A39" s="8" t="s">
        <v>24</v>
      </c>
      <c r="B39" s="8" t="s">
        <v>26</v>
      </c>
      <c r="C39" s="8" t="s">
        <v>27</v>
      </c>
      <c r="D39" s="11" t="s">
        <v>34</v>
      </c>
      <c r="E39" s="13" t="s">
        <v>26</v>
      </c>
      <c r="F39" s="8" t="s">
        <v>27</v>
      </c>
      <c r="G39" s="11" t="s">
        <v>34</v>
      </c>
    </row>
    <row r="40" spans="1:7" x14ac:dyDescent="0.25">
      <c r="A40" t="s">
        <v>25</v>
      </c>
      <c r="D40" s="11"/>
      <c r="E40" s="14"/>
      <c r="G40" s="11"/>
    </row>
    <row r="41" spans="1:7" x14ac:dyDescent="0.25">
      <c r="A41" t="s">
        <v>1</v>
      </c>
      <c r="B41" s="15">
        <v>88.25</v>
      </c>
      <c r="C41" s="15">
        <v>100</v>
      </c>
      <c r="D41" s="16">
        <f>C41-B41</f>
        <v>11.75</v>
      </c>
      <c r="E41" s="17">
        <v>88.75</v>
      </c>
      <c r="F41" s="15">
        <v>100</v>
      </c>
      <c r="G41" s="16">
        <f>F41-E41</f>
        <v>11.25</v>
      </c>
    </row>
    <row r="42" spans="1:7" x14ac:dyDescent="0.25">
      <c r="A42" t="s">
        <v>112</v>
      </c>
      <c r="B42" s="15">
        <v>63.25</v>
      </c>
      <c r="C42" s="15">
        <v>88.24</v>
      </c>
      <c r="D42" s="16">
        <f>C42-B42</f>
        <v>24.989999999999995</v>
      </c>
      <c r="E42" s="17">
        <v>63.75</v>
      </c>
      <c r="F42" s="15">
        <v>88.74</v>
      </c>
      <c r="G42" s="16">
        <f>F42-E42</f>
        <v>24.989999999999995</v>
      </c>
    </row>
    <row r="43" spans="1:7" x14ac:dyDescent="0.25">
      <c r="A43" t="s">
        <v>3</v>
      </c>
      <c r="B43" s="15">
        <v>38.25</v>
      </c>
      <c r="C43" s="15">
        <v>63.24</v>
      </c>
      <c r="D43" s="16">
        <f>C43-B43</f>
        <v>24.990000000000002</v>
      </c>
      <c r="E43" s="17">
        <v>38.75</v>
      </c>
      <c r="F43" s="15">
        <v>63.74</v>
      </c>
      <c r="G43" s="16">
        <f>F43-E43</f>
        <v>24.990000000000002</v>
      </c>
    </row>
    <row r="44" spans="1:7" x14ac:dyDescent="0.25">
      <c r="A44" t="s">
        <v>4</v>
      </c>
      <c r="B44" s="15">
        <v>25</v>
      </c>
      <c r="C44" s="15">
        <v>38.24</v>
      </c>
      <c r="D44" s="16">
        <f>C44-B44</f>
        <v>13.240000000000002</v>
      </c>
      <c r="E44" s="17">
        <v>25</v>
      </c>
      <c r="F44" s="15">
        <v>38.74</v>
      </c>
      <c r="G44" s="16">
        <f>F44-E44</f>
        <v>13.740000000000002</v>
      </c>
    </row>
    <row r="46" spans="1:7" x14ac:dyDescent="0.25">
      <c r="A46" t="s">
        <v>35</v>
      </c>
      <c r="B46">
        <f>IF('List 1.'!$K$19=Podaci!B37,'List 7.'!$I$52,0)</f>
        <v>0</v>
      </c>
      <c r="E46">
        <f>IF('List 1.'!K19=Podaci!E37,'List 7.'!$I$52,0)</f>
        <v>0</v>
      </c>
    </row>
    <row r="47" spans="1:7" x14ac:dyDescent="0.25">
      <c r="A47" t="s">
        <v>36</v>
      </c>
      <c r="B47">
        <f>IF('List 7.'!$J$7&gt;0,C43,IF('List 7.'!$J$21&gt;1,C43,IF('List 7.'!$J$21=1,C42,C41)))</f>
        <v>100</v>
      </c>
      <c r="E47">
        <f>IF('List 7.'!$J$7+'List 7.'!$J$37&gt;0,F43,IF('List 7.'!$J$21&gt;1,F43,IF('List 7.'!$J$21=1,F42,F41)))</f>
        <v>100</v>
      </c>
    </row>
    <row r="48" spans="1:7" x14ac:dyDescent="0.25">
      <c r="A48" s="18" t="s">
        <v>37</v>
      </c>
      <c r="B48" s="19">
        <f>IF(B47&lt;B46,B47,B46)</f>
        <v>0</v>
      </c>
      <c r="C48" s="18"/>
      <c r="D48" s="18"/>
      <c r="E48" s="19">
        <f>IF(E47&lt;E46,E47,E46)</f>
        <v>0</v>
      </c>
    </row>
    <row r="49" spans="1:5" x14ac:dyDescent="0.25">
      <c r="B49" s="2"/>
    </row>
    <row r="50" spans="1:5" x14ac:dyDescent="0.25">
      <c r="B50" t="str">
        <f>IF(B48&lt;B43,$A$25,IF(B48&lt;B42,$A$24,IF(B48&lt;B41,$A$23,$A$22)))</f>
        <v>Ne zadovoljava</v>
      </c>
      <c r="E50" t="str">
        <f>IF(E48&lt;E43,$A$25,IF(E48&lt;E42,$A$24,IF(E48&lt;E41,$A$23,$A$22)))</f>
        <v>Ne zadovoljava</v>
      </c>
    </row>
    <row r="52" spans="1:5" x14ac:dyDescent="0.25">
      <c r="A52" t="s">
        <v>47</v>
      </c>
    </row>
    <row r="53" spans="1:5" x14ac:dyDescent="0.25">
      <c r="A53" t="str">
        <f>IF('List 1.'!$K$19=Podaci!B37,Podaci!B50,Podaci!E50)</f>
        <v>Ne zadovoljava</v>
      </c>
    </row>
  </sheetData>
  <sheetProtection algorithmName="SHA-512" hashValue="OrseH4H5sUZWY8pn9aAo8/qzR2lI6An+LhFP3/CEWIpDHI73OotxSSm9ZlgkCGic+QiTYPOg8HS99a4mz5JC5g==" saltValue="Xs+gd7YB0l7NNiDRt9O9V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12</vt:i4>
      </vt:variant>
    </vt:vector>
  </HeadingPairs>
  <TitlesOfParts>
    <vt:vector size="21" baseType="lpstr">
      <vt:lpstr>List 1.</vt:lpstr>
      <vt:lpstr>List 2.</vt:lpstr>
      <vt:lpstr>List 3.</vt:lpstr>
      <vt:lpstr>List 4.</vt:lpstr>
      <vt:lpstr>List 5.</vt:lpstr>
      <vt:lpstr>List 6.</vt:lpstr>
      <vt:lpstr>List 7.</vt:lpstr>
      <vt:lpstr>List 8.</vt:lpstr>
      <vt:lpstr>Podaci</vt:lpstr>
      <vt:lpstr>'List 4.'!_Toc223958043</vt:lpstr>
      <vt:lpstr>'List 5.'!_Toc223958043</vt:lpstr>
      <vt:lpstr>'List 7.'!_Toc223958043</vt:lpstr>
      <vt:lpstr>'List 8.'!_Toc223958043</vt:lpstr>
      <vt:lpstr>'List 1.'!Podrucje_ispisa</vt:lpstr>
      <vt:lpstr>'List 2.'!Podrucje_ispisa</vt:lpstr>
      <vt:lpstr>'List 3.'!Podrucje_ispisa</vt:lpstr>
      <vt:lpstr>'List 4.'!Podrucje_ispisa</vt:lpstr>
      <vt:lpstr>'List 5.'!Podrucje_ispisa</vt:lpstr>
      <vt:lpstr>'List 6.'!Podrucje_ispisa</vt:lpstr>
      <vt:lpstr>'List 7.'!Podrucje_ispisa</vt:lpstr>
      <vt:lpstr>'List 8.'!Podrucje_ispisa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Čolić</dc:creator>
  <cp:lastModifiedBy>Blaženka Marinković</cp:lastModifiedBy>
  <cp:lastPrinted>2024-10-21T11:42:39Z</cp:lastPrinted>
  <dcterms:created xsi:type="dcterms:W3CDTF">2024-05-15T07:16:20Z</dcterms:created>
  <dcterms:modified xsi:type="dcterms:W3CDTF">2026-01-22T12:46:25Z</dcterms:modified>
</cp:coreProperties>
</file>